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filterPrivacy="1" codeName="ThisWorkbook" defaultThemeVersion="124226"/>
  <xr:revisionPtr revIDLastSave="0" documentId="8_{729980C4-0F06-409E-9F0E-FC1B64469E74}" xr6:coauthVersionLast="47" xr6:coauthVersionMax="47" xr10:uidLastSave="{00000000-0000-0000-0000-000000000000}"/>
  <bookViews>
    <workbookView xWindow="28680" yWindow="-120" windowWidth="29040" windowHeight="15840" xr2:uid="{00000000-000D-0000-FFFF-FFFF00000000}"/>
  </bookViews>
  <sheets>
    <sheet name="Title Page" sheetId="28" r:id="rId1"/>
    <sheet name="List of Worksheets" sheetId="27" r:id="rId2"/>
    <sheet name="Schedule 7, 8 and 9 Rates" sheetId="26" r:id="rId3"/>
    <sheet name="Calc of PTP" sheetId="33" r:id="rId4"/>
    <sheet name="Calc of NT Rev Req" sheetId="32" r:id="rId5"/>
    <sheet name="Revenue Credits" sheetId="31" r:id="rId6"/>
    <sheet name="Rate Calculation" sheetId="1" r:id="rId7"/>
    <sheet name="Schedule 1" sheetId="2" r:id="rId8"/>
    <sheet name="Schedule 2" sheetId="3" r:id="rId9"/>
    <sheet name="Schedule 3" sheetId="4" r:id="rId10"/>
    <sheet name="Schedule 4" sheetId="5" r:id="rId11"/>
    <sheet name="Schedule 5" sheetId="7" r:id="rId12"/>
    <sheet name="Schedule 6" sheetId="9" r:id="rId13"/>
    <sheet name="Schedule 7" sheetId="14" r:id="rId14"/>
    <sheet name="Schedule 8" sheetId="16" r:id="rId15"/>
    <sheet name="Schedule 9" sheetId="43" r:id="rId16"/>
    <sheet name="Schedule 10" sheetId="38" r:id="rId17"/>
    <sheet name="Schedule 11" sheetId="37" r:id="rId18"/>
    <sheet name="Schedule 12" sheetId="40" r:id="rId19"/>
    <sheet name="Schedule 13" sheetId="41" r:id="rId20"/>
    <sheet name="Workpapers Title Page" sheetId="39" r:id="rId21"/>
    <sheet name="Schedule 1 Workpaper page 1" sheetId="15" r:id="rId22"/>
    <sheet name="Schedule 1 Workpaper page 2" sheetId="49" r:id="rId23"/>
    <sheet name="Schedule 1 Workpaper page 3" sheetId="50" r:id="rId24"/>
    <sheet name="Schedule 2 Workpaper page 1" sheetId="17" r:id="rId25"/>
    <sheet name="Schedule 2 Workpaper page 2" sheetId="18" r:id="rId26"/>
    <sheet name="Schedule 2 Workpaper page 3" sheetId="29" r:id="rId27"/>
    <sheet name="Schedule 2 Workpaper page 4" sheetId="48" r:id="rId28"/>
    <sheet name="Schedule 4 Workpaper page 1" sheetId="19" r:id="rId29"/>
    <sheet name="Schedule 4 Workpaper page 2" sheetId="47" r:id="rId30"/>
    <sheet name="Schedule 4 Workpaper page 3" sheetId="21" r:id="rId31"/>
    <sheet name="Schedule 4 Workpaper page 4" sheetId="23" r:id="rId32"/>
    <sheet name="Schedule 4 Workpaper page 5" sheetId="20" r:id="rId33"/>
    <sheet name="Schedule 4 Workpaper page 6" sheetId="6" r:id="rId34"/>
    <sheet name="Schedule 4 Workpaper page 7" sheetId="30" r:id="rId35"/>
    <sheet name="Schedule 5 Workpaper " sheetId="8" r:id="rId36"/>
    <sheet name="Schedule 6 Workpaper page 1" sheetId="10" r:id="rId37"/>
    <sheet name="Schedule 6 Workpaper page 2" sheetId="11" r:id="rId38"/>
    <sheet name="Schedule 6 Workpaper page 3" sheetId="12" r:id="rId39"/>
    <sheet name="Schedule 7 Workpaper" sheetId="42" r:id="rId40"/>
    <sheet name="Schedule 8 Workpaper" sheetId="45" r:id="rId41"/>
  </sheets>
  <definedNames>
    <definedName name="_xlnm._FilterDatabase" localSheetId="29" hidden="1">'Schedule 4 Workpaper page 2'!$A$9:$H$650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KUP_Func">#REF!</definedName>
    <definedName name="_xlnm.Print_Area" localSheetId="4">'Calc of NT Rev Req'!$A$1:$K$50</definedName>
    <definedName name="_xlnm.Print_Area" localSheetId="3">'Calc of PTP'!$A$1:$I$32</definedName>
    <definedName name="_xlnm.Print_Area" localSheetId="1">'List of Worksheets'!$A$1:$G$55</definedName>
    <definedName name="_xlnm.Print_Area" localSheetId="6">'Rate Calculation'!$A$1:$F$66</definedName>
    <definedName name="_xlnm.Print_Area" localSheetId="5">'Revenue Credits'!$A$1:$F$22</definedName>
    <definedName name="_xlnm.Print_Area" localSheetId="7">'Schedule 1'!$A$1:$G$85</definedName>
    <definedName name="_xlnm.Print_Area" localSheetId="21">'Schedule 1 Workpaper page 1'!$A$1:$H$34</definedName>
    <definedName name="_xlnm.Print_Area" localSheetId="22">'Schedule 1 Workpaper page 2'!$A$1:$I$58</definedName>
    <definedName name="_xlnm.Print_Area" localSheetId="23">'Schedule 1 Workpaper page 3'!$A$1:$I$58</definedName>
    <definedName name="_xlnm.Print_Area" localSheetId="16">'Schedule 10'!$A$1:$H$29</definedName>
    <definedName name="_xlnm.Print_Area" localSheetId="17">'Schedule 11'!$A$1:$T$29</definedName>
    <definedName name="_xlnm.Print_Area" localSheetId="18">'Schedule 12'!$A$1:$G$62</definedName>
    <definedName name="_xlnm.Print_Area" localSheetId="19">'Schedule 13'!$A$1:$C$37</definedName>
    <definedName name="_xlnm.Print_Area" localSheetId="8">'Schedule 2'!$A$1:$G$83</definedName>
    <definedName name="_xlnm.Print_Area" localSheetId="24">'Schedule 2 Workpaper page 1'!$A$1:$F$66</definedName>
    <definedName name="_xlnm.Print_Area" localSheetId="25">'Schedule 2 Workpaper page 2'!$A$1:$G$16</definedName>
    <definedName name="_xlnm.Print_Area" localSheetId="26">'Schedule 2 Workpaper page 3'!$A$1:$K$34</definedName>
    <definedName name="_xlnm.Print_Area" localSheetId="27">'Schedule 2 Workpaper page 4'!$A$1:$E$30</definedName>
    <definedName name="_xlnm.Print_Area" localSheetId="9">'Schedule 3'!$A$1:$G$56</definedName>
    <definedName name="_xlnm.Print_Area" localSheetId="10">'Schedule 4'!$A$1:$F$36</definedName>
    <definedName name="_xlnm.Print_Area" localSheetId="28">'Schedule 4 Workpaper page 1'!$A$1:$I$39</definedName>
    <definedName name="_xlnm.Print_Area" localSheetId="29">'Schedule 4 Workpaper page 2'!$A$1:$I$674</definedName>
    <definedName name="_xlnm.Print_Area" localSheetId="30">'Schedule 4 Workpaper page 3'!$A$1:$N$92</definedName>
    <definedName name="_xlnm.Print_Area" localSheetId="31">'Schedule 4 Workpaper page 4'!$A$1:$F$26</definedName>
    <definedName name="_xlnm.Print_Area" localSheetId="32">'Schedule 4 Workpaper page 5'!$A$1:$J$20</definedName>
    <definedName name="_xlnm.Print_Area" localSheetId="33">'Schedule 4 Workpaper page 6'!$A$1:$K$80</definedName>
    <definedName name="_xlnm.Print_Area" localSheetId="34">'Schedule 4 Workpaper page 7'!$A$1:$E$25</definedName>
    <definedName name="_xlnm.Print_Area" localSheetId="11">'Schedule 5'!$A$1:$R$73</definedName>
    <definedName name="_xlnm.Print_Area" localSheetId="35">'Schedule 5 Workpaper '!$A$1:$H$61</definedName>
    <definedName name="_xlnm.Print_Area" localSheetId="12">'Schedule 6'!$A$1:$J$49</definedName>
    <definedName name="_xlnm.Print_Area" localSheetId="36">'Schedule 6 Workpaper page 1'!$A$1:$P$51</definedName>
    <definedName name="_xlnm.Print_Area" localSheetId="37">'Schedule 6 Workpaper page 2'!$A$1:$G$26</definedName>
    <definedName name="_xlnm.Print_Area" localSheetId="38">'Schedule 6 Workpaper page 3'!$A$1:$H$24</definedName>
    <definedName name="_xlnm.Print_Area" localSheetId="13">'Schedule 7'!$A$1:$H$92</definedName>
    <definedName name="_xlnm.Print_Area" localSheetId="39">'Schedule 7 Workpaper'!$A$5:$X$94</definedName>
    <definedName name="_xlnm.Print_Area" localSheetId="2">'Schedule 7, 8 and 9 Rates'!$A$1:$K$31</definedName>
    <definedName name="_xlnm.Print_Area" localSheetId="14">'Schedule 8'!$A$1:$H$31</definedName>
    <definedName name="_xlnm.Print_Area" localSheetId="40">'Schedule 8 Workpaper'!$A$4:$V$23</definedName>
    <definedName name="_xlnm.Print_Area" localSheetId="15">'Schedule 9'!$A$1:$J$63</definedName>
    <definedName name="_xlnm.Print_Area" localSheetId="0">'Title Page'!$A$1:$I$43</definedName>
    <definedName name="_xlnm.Print_Titles" localSheetId="29">'Schedule 4 Workpaper page 2'!$5:$9</definedName>
    <definedName name="_xlnm.Print_Titles" localSheetId="13">'Schedule 7'!$5:$11</definedName>
    <definedName name="_xlnm.Print_Titles" localSheetId="39">'Schedule 7 Workpaper'!$A:$B,'Schedule 7 Workpaper'!$5:$11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F11" i="3" l="1"/>
  <c r="E23" i="16"/>
  <c r="F23" i="16"/>
  <c r="G23" i="16"/>
  <c r="G18" i="16"/>
  <c r="G19" i="16"/>
  <c r="G20" i="16"/>
  <c r="G21" i="16"/>
  <c r="F18" i="16"/>
  <c r="F19" i="16"/>
  <c r="F20" i="16"/>
  <c r="F21" i="16"/>
  <c r="E18" i="16"/>
  <c r="E19" i="16"/>
  <c r="E20" i="16"/>
  <c r="E21" i="16"/>
  <c r="A20" i="16"/>
  <c r="A21" i="16"/>
  <c r="A22" i="16"/>
  <c r="A23" i="16"/>
  <c r="X19" i="45"/>
  <c r="X18" i="45"/>
  <c r="T82" i="42"/>
  <c r="Y18" i="45" l="1"/>
  <c r="Y19" i="45"/>
  <c r="B13" i="14"/>
  <c r="C13" i="14"/>
  <c r="E13" i="14"/>
  <c r="B14" i="14"/>
  <c r="C14" i="14"/>
  <c r="B15" i="14"/>
  <c r="C15" i="14"/>
  <c r="E15" i="14"/>
  <c r="B16" i="14"/>
  <c r="C16" i="14"/>
  <c r="E16" i="14"/>
  <c r="B17" i="14"/>
  <c r="C17" i="14"/>
  <c r="E17" i="14"/>
  <c r="B18" i="14"/>
  <c r="C18" i="14"/>
  <c r="E18" i="14"/>
  <c r="B19" i="14"/>
  <c r="C19" i="14"/>
  <c r="E19" i="14"/>
  <c r="B20" i="14"/>
  <c r="C20" i="14"/>
  <c r="B21" i="14"/>
  <c r="C21" i="14"/>
  <c r="E21" i="14"/>
  <c r="B22" i="14"/>
  <c r="C22" i="14"/>
  <c r="E22" i="14"/>
  <c r="B23" i="14"/>
  <c r="C23" i="14"/>
  <c r="E23" i="14"/>
  <c r="B24" i="14"/>
  <c r="C24" i="14"/>
  <c r="E24" i="14"/>
  <c r="B25" i="14"/>
  <c r="C25" i="14"/>
  <c r="E25" i="14"/>
  <c r="B26" i="14"/>
  <c r="C26" i="14"/>
  <c r="E26" i="14"/>
  <c r="B27" i="14"/>
  <c r="C27" i="14"/>
  <c r="E27" i="14"/>
  <c r="B28" i="14"/>
  <c r="C28" i="14"/>
  <c r="E28" i="14"/>
  <c r="B29" i="14"/>
  <c r="C29" i="14"/>
  <c r="E29" i="14"/>
  <c r="B30" i="14"/>
  <c r="C30" i="14"/>
  <c r="B31" i="14"/>
  <c r="C31" i="14"/>
  <c r="E31" i="14"/>
  <c r="B32" i="14"/>
  <c r="C32" i="14"/>
  <c r="E32" i="14"/>
  <c r="B33" i="14"/>
  <c r="C33" i="14"/>
  <c r="B34" i="14"/>
  <c r="C34" i="14"/>
  <c r="E34" i="14"/>
  <c r="B35" i="14"/>
  <c r="C35" i="14"/>
  <c r="E35" i="14"/>
  <c r="B36" i="14"/>
  <c r="C36" i="14"/>
  <c r="E36" i="14"/>
  <c r="B37" i="14"/>
  <c r="C37" i="14"/>
  <c r="E37" i="14"/>
  <c r="B38" i="14"/>
  <c r="C38" i="14"/>
  <c r="E38" i="14"/>
  <c r="B39" i="14"/>
  <c r="C39" i="14"/>
  <c r="E39" i="14"/>
  <c r="B40" i="14"/>
  <c r="C40" i="14"/>
  <c r="E40" i="14"/>
  <c r="B41" i="14"/>
  <c r="C41" i="14"/>
  <c r="E41" i="14"/>
  <c r="B42" i="14"/>
  <c r="C42" i="14"/>
  <c r="E42" i="14"/>
  <c r="B43" i="14"/>
  <c r="C43" i="14"/>
  <c r="B44" i="14"/>
  <c r="C44" i="14"/>
  <c r="E44" i="14"/>
  <c r="B45" i="14"/>
  <c r="C45" i="14"/>
  <c r="E45" i="14"/>
  <c r="B46" i="14"/>
  <c r="C46" i="14"/>
  <c r="B47" i="14"/>
  <c r="C47" i="14"/>
  <c r="E47" i="14"/>
  <c r="B48" i="14"/>
  <c r="C48" i="14"/>
  <c r="E48" i="14"/>
  <c r="B49" i="14"/>
  <c r="C49" i="14"/>
  <c r="E49" i="14"/>
  <c r="B50" i="14"/>
  <c r="C50" i="14"/>
  <c r="E50" i="14"/>
  <c r="B51" i="14"/>
  <c r="C51" i="14"/>
  <c r="E51" i="14"/>
  <c r="B52" i="14"/>
  <c r="C52" i="14"/>
  <c r="E52" i="14"/>
  <c r="B53" i="14"/>
  <c r="C53" i="14"/>
  <c r="E53" i="14"/>
  <c r="B54" i="14"/>
  <c r="C54" i="14"/>
  <c r="E54" i="14"/>
  <c r="B55" i="14"/>
  <c r="C55" i="14"/>
  <c r="E55" i="14"/>
  <c r="B56" i="14"/>
  <c r="C56" i="14"/>
  <c r="E56" i="14"/>
  <c r="B57" i="14"/>
  <c r="C57" i="14"/>
  <c r="E57" i="14"/>
  <c r="B58" i="14"/>
  <c r="C58" i="14"/>
  <c r="E58" i="14"/>
  <c r="B59" i="14"/>
  <c r="C59" i="14"/>
  <c r="E59" i="14"/>
  <c r="B60" i="14"/>
  <c r="C60" i="14"/>
  <c r="E60" i="14"/>
  <c r="B61" i="14"/>
  <c r="C61" i="14"/>
  <c r="E61" i="14"/>
  <c r="B62" i="14"/>
  <c r="C62" i="14"/>
  <c r="E62" i="14"/>
  <c r="B63" i="14"/>
  <c r="C63" i="14"/>
  <c r="E63" i="14"/>
  <c r="B64" i="14"/>
  <c r="C64" i="14"/>
  <c r="E64" i="14"/>
  <c r="B65" i="14"/>
  <c r="C65" i="14"/>
  <c r="E65" i="14"/>
  <c r="B66" i="14"/>
  <c r="C66" i="14"/>
  <c r="B67" i="14"/>
  <c r="C67" i="14"/>
  <c r="B68" i="14"/>
  <c r="C68" i="14"/>
  <c r="E68" i="14"/>
  <c r="B69" i="14"/>
  <c r="C69" i="14"/>
  <c r="E69" i="14"/>
  <c r="C70" i="14"/>
  <c r="B71" i="14"/>
  <c r="C71" i="14"/>
  <c r="B72" i="14"/>
  <c r="C72" i="14"/>
  <c r="B73" i="14"/>
  <c r="C73" i="14"/>
  <c r="E73" i="14"/>
  <c r="B74" i="14"/>
  <c r="C74" i="14"/>
  <c r="E74" i="14"/>
  <c r="B75" i="14"/>
  <c r="C75" i="14"/>
  <c r="B76" i="14"/>
  <c r="C76" i="14"/>
  <c r="E76" i="14"/>
  <c r="B77" i="14"/>
  <c r="C77" i="14"/>
  <c r="B78" i="14"/>
  <c r="C78" i="14"/>
  <c r="E78" i="14"/>
  <c r="B79" i="14"/>
  <c r="C79" i="14"/>
  <c r="B80" i="14"/>
  <c r="C80" i="14"/>
  <c r="E80" i="14"/>
  <c r="B81" i="14"/>
  <c r="C81" i="14"/>
  <c r="B82" i="14"/>
  <c r="C82" i="14"/>
  <c r="E82" i="14"/>
  <c r="B83" i="14"/>
  <c r="C83" i="14"/>
  <c r="B84" i="14"/>
  <c r="C84" i="14"/>
  <c r="E84" i="14"/>
  <c r="B85" i="14"/>
  <c r="C85" i="14"/>
  <c r="E85" i="14"/>
  <c r="B86" i="14"/>
  <c r="C86" i="14"/>
  <c r="E86"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E42" i="1"/>
  <c r="E17" i="1"/>
  <c r="E15" i="1"/>
  <c r="F22" i="3" l="1"/>
  <c r="F38" i="4" l="1"/>
  <c r="E20" i="42" l="1"/>
  <c r="E20" i="14" s="1"/>
  <c r="Y21" i="42"/>
  <c r="W21" i="42"/>
  <c r="G21" i="14" s="1"/>
  <c r="S21" i="42"/>
  <c r="T21" i="42" s="1"/>
  <c r="N21" i="42"/>
  <c r="K21" i="42"/>
  <c r="G21" i="42"/>
  <c r="Y22" i="42"/>
  <c r="W22" i="42"/>
  <c r="G22" i="14" s="1"/>
  <c r="T22" i="42"/>
  <c r="N22" i="42"/>
  <c r="K22" i="42"/>
  <c r="G22" i="42"/>
  <c r="H22" i="42" l="1"/>
  <c r="D22" i="14"/>
  <c r="H21" i="42"/>
  <c r="P21" i="42"/>
  <c r="Q21" i="42" s="1"/>
  <c r="Q22" i="42"/>
  <c r="E22" i="5"/>
  <c r="U21" i="42" l="1"/>
  <c r="V21" i="42" s="1"/>
  <c r="U22" i="42"/>
  <c r="V22" i="42" s="1"/>
  <c r="D21" i="14"/>
  <c r="Z21" i="42"/>
  <c r="AA21" i="42" s="1"/>
  <c r="Z22" i="42"/>
  <c r="AA22" i="42" s="1"/>
  <c r="F21" i="14" l="1"/>
  <c r="F22" i="14"/>
  <c r="F81" i="21" l="1"/>
  <c r="F15" i="40" l="1"/>
  <c r="F16" i="40"/>
  <c r="F68" i="6" l="1"/>
  <c r="J60" i="6"/>
  <c r="J61" i="6"/>
  <c r="J62" i="6"/>
  <c r="J63" i="6"/>
  <c r="J64" i="6"/>
  <c r="J65" i="6"/>
  <c r="J66" i="6"/>
  <c r="J67" i="6"/>
  <c r="D68" i="6"/>
  <c r="G662" i="47"/>
  <c r="G661" i="47"/>
  <c r="G660" i="47"/>
  <c r="A11" i="47"/>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5"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4" i="47" s="1"/>
  <c r="A245" i="47" s="1"/>
  <c r="A246" i="47" s="1"/>
  <c r="A247" i="47" s="1"/>
  <c r="A248" i="47" s="1"/>
  <c r="A249"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293" i="47" s="1"/>
  <c r="A294" i="47" s="1"/>
  <c r="A295" i="47" s="1"/>
  <c r="A296" i="47" s="1"/>
  <c r="A297" i="47" s="1"/>
  <c r="A298" i="47" s="1"/>
  <c r="A299" i="47" s="1"/>
  <c r="A300" i="47" s="1"/>
  <c r="A301" i="47" s="1"/>
  <c r="A302" i="47" s="1"/>
  <c r="A303" i="47" s="1"/>
  <c r="A304" i="47" s="1"/>
  <c r="A305" i="47" s="1"/>
  <c r="A306" i="47" s="1"/>
  <c r="A307" i="47" s="1"/>
  <c r="A308" i="47" s="1"/>
  <c r="A309" i="47" s="1"/>
  <c r="A310" i="47" s="1"/>
  <c r="A311" i="47" s="1"/>
  <c r="A312" i="47" s="1"/>
  <c r="A313" i="47" s="1"/>
  <c r="A314" i="47" s="1"/>
  <c r="A315" i="47" s="1"/>
  <c r="A316" i="47" s="1"/>
  <c r="A317" i="47" s="1"/>
  <c r="A318" i="47" s="1"/>
  <c r="A319" i="47" s="1"/>
  <c r="A320" i="47" s="1"/>
  <c r="A321" i="47" s="1"/>
  <c r="A322" i="47" s="1"/>
  <c r="A323" i="47" s="1"/>
  <c r="A324" i="47" s="1"/>
  <c r="A325" i="47" s="1"/>
  <c r="A326" i="47" s="1"/>
  <c r="A327" i="47" s="1"/>
  <c r="A328" i="47" s="1"/>
  <c r="A329" i="47" s="1"/>
  <c r="A330" i="47" s="1"/>
  <c r="A331" i="47" s="1"/>
  <c r="A332" i="47" s="1"/>
  <c r="A333" i="47" s="1"/>
  <c r="A334" i="47" s="1"/>
  <c r="A335" i="47" s="1"/>
  <c r="A336" i="47" s="1"/>
  <c r="A337" i="47" s="1"/>
  <c r="A338" i="47" s="1"/>
  <c r="A339" i="47" s="1"/>
  <c r="A340" i="47" s="1"/>
  <c r="A341" i="47" s="1"/>
  <c r="A342" i="47" s="1"/>
  <c r="A343" i="47" s="1"/>
  <c r="A344" i="47" s="1"/>
  <c r="A345" i="47" s="1"/>
  <c r="A346" i="47" s="1"/>
  <c r="A347" i="47" s="1"/>
  <c r="A348" i="47" s="1"/>
  <c r="A349" i="47" s="1"/>
  <c r="A350" i="47" s="1"/>
  <c r="A351" i="47" s="1"/>
  <c r="A352" i="47" s="1"/>
  <c r="A353" i="47" s="1"/>
  <c r="A354" i="47" s="1"/>
  <c r="A355" i="47" s="1"/>
  <c r="A356" i="47" s="1"/>
  <c r="A357" i="47" s="1"/>
  <c r="A358" i="47" s="1"/>
  <c r="A359" i="47" s="1"/>
  <c r="A360" i="47" s="1"/>
  <c r="A361" i="47" s="1"/>
  <c r="A362" i="47" s="1"/>
  <c r="A363" i="47" s="1"/>
  <c r="A364" i="47" s="1"/>
  <c r="A365" i="47" s="1"/>
  <c r="A366" i="47" s="1"/>
  <c r="A367" i="47" s="1"/>
  <c r="A368" i="47" s="1"/>
  <c r="A369" i="47" s="1"/>
  <c r="A370" i="47" s="1"/>
  <c r="A371" i="47" s="1"/>
  <c r="A372" i="47" s="1"/>
  <c r="A373" i="47" s="1"/>
  <c r="A374" i="47" s="1"/>
  <c r="A375" i="47" s="1"/>
  <c r="A376" i="47" s="1"/>
  <c r="A377" i="47" s="1"/>
  <c r="A378" i="47" s="1"/>
  <c r="A379" i="47" s="1"/>
  <c r="A380" i="47" s="1"/>
  <c r="A381" i="47" s="1"/>
  <c r="A382" i="47" s="1"/>
  <c r="A383" i="47" s="1"/>
  <c r="A384" i="47" s="1"/>
  <c r="A385" i="47" s="1"/>
  <c r="A386" i="47" s="1"/>
  <c r="A387" i="47" s="1"/>
  <c r="A388" i="47" s="1"/>
  <c r="A389" i="47" s="1"/>
  <c r="A390" i="47" s="1"/>
  <c r="A391" i="47" s="1"/>
  <c r="A392" i="47" s="1"/>
  <c r="A393" i="47" s="1"/>
  <c r="A394" i="47" s="1"/>
  <c r="A395" i="47" s="1"/>
  <c r="A396" i="47" s="1"/>
  <c r="A397" i="47" s="1"/>
  <c r="A398" i="47" s="1"/>
  <c r="A399" i="47" s="1"/>
  <c r="A400" i="47" s="1"/>
  <c r="A401" i="47" s="1"/>
  <c r="A402" i="47" s="1"/>
  <c r="A403" i="47" s="1"/>
  <c r="A404" i="47" s="1"/>
  <c r="A405" i="47" s="1"/>
  <c r="A406" i="47" s="1"/>
  <c r="A407" i="47" s="1"/>
  <c r="A408" i="47" s="1"/>
  <c r="A409" i="47" s="1"/>
  <c r="A410" i="47" s="1"/>
  <c r="A411" i="47" s="1"/>
  <c r="A412" i="47" s="1"/>
  <c r="A413" i="47" s="1"/>
  <c r="A414" i="47" s="1"/>
  <c r="A415" i="47" s="1"/>
  <c r="A416" i="47" s="1"/>
  <c r="A417" i="47" s="1"/>
  <c r="A418" i="47" s="1"/>
  <c r="A419" i="47" s="1"/>
  <c r="A420" i="47" s="1"/>
  <c r="A421" i="47" s="1"/>
  <c r="A422" i="47" s="1"/>
  <c r="A423" i="47" s="1"/>
  <c r="A424" i="47" s="1"/>
  <c r="A425" i="47" s="1"/>
  <c r="A426" i="47" s="1"/>
  <c r="A427" i="47" s="1"/>
  <c r="A428" i="47" s="1"/>
  <c r="A429" i="47" s="1"/>
  <c r="A430" i="47" s="1"/>
  <c r="A431" i="47" s="1"/>
  <c r="A432" i="47" s="1"/>
  <c r="A433" i="47" s="1"/>
  <c r="A434" i="47" s="1"/>
  <c r="A435" i="47" s="1"/>
  <c r="A436" i="47" s="1"/>
  <c r="A437" i="47" s="1"/>
  <c r="A438" i="47" s="1"/>
  <c r="A439" i="47" s="1"/>
  <c r="A440" i="47" s="1"/>
  <c r="A441" i="47" s="1"/>
  <c r="A442" i="47" s="1"/>
  <c r="A443" i="47" s="1"/>
  <c r="A444" i="47" s="1"/>
  <c r="A445" i="47" s="1"/>
  <c r="A446" i="47" s="1"/>
  <c r="A447" i="47" s="1"/>
  <c r="A448" i="47" s="1"/>
  <c r="A449" i="47" s="1"/>
  <c r="A450" i="47" s="1"/>
  <c r="A451" i="47" s="1"/>
  <c r="A452" i="47" s="1"/>
  <c r="A453" i="47" s="1"/>
  <c r="A454" i="47" s="1"/>
  <c r="A455" i="47" s="1"/>
  <c r="A456" i="47" s="1"/>
  <c r="A457" i="47" s="1"/>
  <c r="A458" i="47" s="1"/>
  <c r="A459" i="47" s="1"/>
  <c r="A460" i="47" s="1"/>
  <c r="A461" i="47" s="1"/>
  <c r="A462" i="47" s="1"/>
  <c r="A463" i="47" s="1"/>
  <c r="A464" i="47" s="1"/>
  <c r="A465" i="47" s="1"/>
  <c r="A466" i="47" s="1"/>
  <c r="A467" i="47" s="1"/>
  <c r="A468" i="47" s="1"/>
  <c r="A469" i="47" s="1"/>
  <c r="A470" i="47" s="1"/>
  <c r="A471" i="47" s="1"/>
  <c r="A472" i="47" s="1"/>
  <c r="A473" i="47" s="1"/>
  <c r="A474" i="47" s="1"/>
  <c r="A475" i="47" s="1"/>
  <c r="A476" i="47" s="1"/>
  <c r="A477" i="47" s="1"/>
  <c r="A478" i="47" s="1"/>
  <c r="A479" i="47" s="1"/>
  <c r="A480" i="47" s="1"/>
  <c r="A481" i="47" s="1"/>
  <c r="A482" i="47" s="1"/>
  <c r="A483" i="47" s="1"/>
  <c r="A484" i="47" s="1"/>
  <c r="A485" i="47" s="1"/>
  <c r="A486" i="47" s="1"/>
  <c r="A487" i="47" s="1"/>
  <c r="A488" i="47" s="1"/>
  <c r="A489" i="47" s="1"/>
  <c r="A490" i="47" s="1"/>
  <c r="A491" i="47" s="1"/>
  <c r="A492" i="47" s="1"/>
  <c r="A493" i="47" s="1"/>
  <c r="A494" i="47" s="1"/>
  <c r="A495" i="47" s="1"/>
  <c r="A496" i="47" s="1"/>
  <c r="A497" i="47" s="1"/>
  <c r="A498" i="47" s="1"/>
  <c r="A499" i="47" s="1"/>
  <c r="A500" i="47" s="1"/>
  <c r="A501" i="47" s="1"/>
  <c r="A502" i="47" s="1"/>
  <c r="A503" i="47" s="1"/>
  <c r="A504" i="47" s="1"/>
  <c r="A505" i="47" s="1"/>
  <c r="A506" i="47" s="1"/>
  <c r="A507" i="47" s="1"/>
  <c r="A508" i="47" s="1"/>
  <c r="A509" i="47" s="1"/>
  <c r="A510" i="47" s="1"/>
  <c r="A511" i="47" s="1"/>
  <c r="A512" i="47" s="1"/>
  <c r="A513" i="47" s="1"/>
  <c r="A514" i="47" s="1"/>
  <c r="A515" i="47" s="1"/>
  <c r="A516" i="47" s="1"/>
  <c r="A517" i="47" s="1"/>
  <c r="A518" i="47" s="1"/>
  <c r="A519" i="47" s="1"/>
  <c r="A520" i="47" s="1"/>
  <c r="A521" i="47" s="1"/>
  <c r="A522" i="47" s="1"/>
  <c r="A523" i="47" s="1"/>
  <c r="A524" i="47" s="1"/>
  <c r="A525" i="47" s="1"/>
  <c r="A526" i="47" s="1"/>
  <c r="A527" i="47" s="1"/>
  <c r="A528" i="47" s="1"/>
  <c r="A529" i="47" s="1"/>
  <c r="A530" i="47" s="1"/>
  <c r="A531" i="47" s="1"/>
  <c r="A532" i="47" s="1"/>
  <c r="A533" i="47" s="1"/>
  <c r="A534" i="47" s="1"/>
  <c r="A535" i="47" s="1"/>
  <c r="A536" i="47" s="1"/>
  <c r="A537" i="47" s="1"/>
  <c r="A538" i="47" s="1"/>
  <c r="A539" i="47" s="1"/>
  <c r="A540" i="47" s="1"/>
  <c r="A541" i="47" s="1"/>
  <c r="A542" i="47" s="1"/>
  <c r="A543" i="47" s="1"/>
  <c r="A544" i="47" s="1"/>
  <c r="A545" i="47" s="1"/>
  <c r="A546" i="47" s="1"/>
  <c r="A547" i="47" s="1"/>
  <c r="A548" i="47" s="1"/>
  <c r="A549" i="47" s="1"/>
  <c r="A550" i="47" s="1"/>
  <c r="A551" i="47" s="1"/>
  <c r="A552" i="47" s="1"/>
  <c r="A553" i="47" s="1"/>
  <c r="A554" i="47" s="1"/>
  <c r="A555" i="47" s="1"/>
  <c r="A556" i="47" s="1"/>
  <c r="A557" i="47" s="1"/>
  <c r="A558" i="47" s="1"/>
  <c r="A559" i="47" s="1"/>
  <c r="A560" i="47" s="1"/>
  <c r="A561" i="47" s="1"/>
  <c r="A562" i="47" s="1"/>
  <c r="A563" i="47" s="1"/>
  <c r="A564" i="47" s="1"/>
  <c r="A565" i="47" s="1"/>
  <c r="A566" i="47" s="1"/>
  <c r="A567" i="47" s="1"/>
  <c r="A568" i="47" s="1"/>
  <c r="A569" i="47" s="1"/>
  <c r="A570" i="47" s="1"/>
  <c r="A571" i="47" s="1"/>
  <c r="A572" i="47" s="1"/>
  <c r="A573" i="47" s="1"/>
  <c r="A574" i="47" s="1"/>
  <c r="A575" i="47" s="1"/>
  <c r="A576" i="47" s="1"/>
  <c r="A577" i="47" s="1"/>
  <c r="A578" i="47" s="1"/>
  <c r="A579" i="47" s="1"/>
  <c r="A580" i="47" s="1"/>
  <c r="A581" i="47" s="1"/>
  <c r="A582" i="47" s="1"/>
  <c r="A583" i="47" s="1"/>
  <c r="A584" i="47" s="1"/>
  <c r="A585" i="47" s="1"/>
  <c r="A586" i="47" s="1"/>
  <c r="A587" i="47" s="1"/>
  <c r="A588" i="47" s="1"/>
  <c r="A589" i="47" s="1"/>
  <c r="A590" i="47" s="1"/>
  <c r="A591" i="47" s="1"/>
  <c r="A592" i="47" s="1"/>
  <c r="A593" i="47" s="1"/>
  <c r="A594" i="47" s="1"/>
  <c r="A595" i="47" s="1"/>
  <c r="A596" i="47" s="1"/>
  <c r="A597" i="47" s="1"/>
  <c r="A598" i="47" s="1"/>
  <c r="A599" i="47" s="1"/>
  <c r="A600" i="47" s="1"/>
  <c r="A601" i="47" s="1"/>
  <c r="A602" i="47" s="1"/>
  <c r="A603" i="47" s="1"/>
  <c r="A604" i="47" s="1"/>
  <c r="A605" i="47" s="1"/>
  <c r="A606" i="47" s="1"/>
  <c r="A607" i="47" s="1"/>
  <c r="A608" i="47" s="1"/>
  <c r="A609" i="47" s="1"/>
  <c r="A610" i="47" s="1"/>
  <c r="A611" i="47" s="1"/>
  <c r="A612" i="47" s="1"/>
  <c r="A613" i="47" s="1"/>
  <c r="A614" i="47" s="1"/>
  <c r="A615" i="47" s="1"/>
  <c r="A616" i="47" s="1"/>
  <c r="A617" i="47" s="1"/>
  <c r="A618" i="47" s="1"/>
  <c r="A619" i="47" s="1"/>
  <c r="A620" i="47" s="1"/>
  <c r="A621" i="47" s="1"/>
  <c r="A622" i="47" s="1"/>
  <c r="A623" i="47" s="1"/>
  <c r="A624" i="47" s="1"/>
  <c r="A625" i="47" s="1"/>
  <c r="A626" i="47" s="1"/>
  <c r="A627" i="47" s="1"/>
  <c r="A628" i="47" s="1"/>
  <c r="A629" i="47" s="1"/>
  <c r="A630" i="47" s="1"/>
  <c r="A631" i="47" s="1"/>
  <c r="A632" i="47" s="1"/>
  <c r="A633" i="47" s="1"/>
  <c r="A634" i="47" s="1"/>
  <c r="A635" i="47" s="1"/>
  <c r="A636" i="47" s="1"/>
  <c r="A637" i="47" s="1"/>
  <c r="A638" i="47" s="1"/>
  <c r="A639" i="47" s="1"/>
  <c r="A640" i="47" s="1"/>
  <c r="A641" i="47" s="1"/>
  <c r="A642" i="47" s="1"/>
  <c r="A643" i="47" s="1"/>
  <c r="A644" i="47" s="1"/>
  <c r="A645" i="47" s="1"/>
  <c r="A646" i="47" s="1"/>
  <c r="A647" i="47" s="1"/>
  <c r="A648" i="47" s="1"/>
  <c r="A649" i="47" s="1"/>
  <c r="A650" i="47" s="1"/>
  <c r="G47" i="47"/>
  <c r="G651" i="47" s="1"/>
  <c r="G663" i="47" l="1"/>
  <c r="A3" i="50"/>
  <c r="J41" i="50"/>
  <c r="J42" i="50" s="1"/>
  <c r="J43" i="50" s="1"/>
  <c r="J44" i="50" s="1"/>
  <c r="G41" i="50"/>
  <c r="G42" i="50" s="1"/>
  <c r="G43" i="50" s="1"/>
  <c r="G44" i="50" s="1"/>
  <c r="J32" i="50"/>
  <c r="J33" i="50" s="1"/>
  <c r="J34" i="50" s="1"/>
  <c r="J35" i="50" s="1"/>
  <c r="G32" i="50"/>
  <c r="G33" i="50" s="1"/>
  <c r="G34" i="50" s="1"/>
  <c r="G35" i="50" s="1"/>
  <c r="H26" i="50"/>
  <c r="G18" i="50"/>
  <c r="F18" i="50"/>
  <c r="E18" i="50"/>
  <c r="H17" i="50"/>
  <c r="H16" i="50"/>
  <c r="H15" i="50"/>
  <c r="H14" i="50"/>
  <c r="H13" i="50"/>
  <c r="H12" i="50"/>
  <c r="A12" i="50"/>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F46" i="49"/>
  <c r="F43" i="49"/>
  <c r="J41" i="49"/>
  <c r="J42" i="49" s="1"/>
  <c r="J43" i="49" s="1"/>
  <c r="J44" i="49" s="1"/>
  <c r="J45" i="49" s="1"/>
  <c r="J46" i="49" s="1"/>
  <c r="G41" i="49"/>
  <c r="G42" i="49" s="1"/>
  <c r="J32" i="49"/>
  <c r="J33" i="49" s="1"/>
  <c r="J34" i="49" s="1"/>
  <c r="J35" i="49" s="1"/>
  <c r="G32" i="49"/>
  <c r="G33" i="49" s="1"/>
  <c r="G34" i="49" s="1"/>
  <c r="G35" i="49" s="1"/>
  <c r="E18" i="49"/>
  <c r="G17" i="49"/>
  <c r="H16" i="49"/>
  <c r="H18" i="49" s="1"/>
  <c r="G16" i="49"/>
  <c r="F16" i="49"/>
  <c r="F14" i="49"/>
  <c r="G13" i="49"/>
  <c r="F13" i="49"/>
  <c r="A12" i="49"/>
  <c r="A13" i="49" s="1"/>
  <c r="A14" i="49" s="1"/>
  <c r="A15" i="49" s="1"/>
  <c r="A16" i="49" s="1"/>
  <c r="A17" i="49" s="1"/>
  <c r="A18" i="49" s="1"/>
  <c r="A19" i="49" s="1"/>
  <c r="A20" i="49" s="1"/>
  <c r="A21" i="49" s="1"/>
  <c r="A22" i="49" s="1"/>
  <c r="H18" i="50" l="1"/>
  <c r="G43" i="49"/>
  <c r="G44" i="49" s="1"/>
  <c r="G45" i="49" s="1"/>
  <c r="G46" i="49" s="1"/>
  <c r="F18" i="49"/>
  <c r="G18" i="49"/>
  <c r="G19" i="15" l="1"/>
  <c r="D17" i="19" l="1"/>
  <c r="S13" i="42" l="1"/>
  <c r="S14" i="42"/>
  <c r="S15" i="42"/>
  <c r="S16" i="42"/>
  <c r="S17" i="42"/>
  <c r="S18" i="42"/>
  <c r="S19" i="42"/>
  <c r="S20"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12" i="42"/>
  <c r="N16" i="10" l="1"/>
  <c r="N17" i="10"/>
  <c r="N18" i="10"/>
  <c r="N19" i="10"/>
  <c r="N20" i="10"/>
  <c r="N21" i="10"/>
  <c r="N22" i="10"/>
  <c r="N23" i="10"/>
  <c r="N24" i="10"/>
  <c r="N25" i="10"/>
  <c r="N26" i="10"/>
  <c r="N27" i="10"/>
  <c r="N28" i="10"/>
  <c r="N29" i="10"/>
  <c r="N30" i="10"/>
  <c r="N31" i="10"/>
  <c r="N32" i="10"/>
  <c r="N33" i="10"/>
  <c r="N34" i="10"/>
  <c r="N35" i="10"/>
  <c r="A39" i="10" l="1"/>
  <c r="A40" i="10" s="1"/>
  <c r="A42" i="10" s="1"/>
  <c r="A45" i="10" s="1"/>
  <c r="K36" i="10"/>
  <c r="G36" i="10"/>
  <c r="F36" i="10"/>
  <c r="I35" i="10"/>
  <c r="L35" i="10" s="1"/>
  <c r="M35" i="10" s="1"/>
  <c r="O35" i="10" s="1"/>
  <c r="I34" i="10"/>
  <c r="I33" i="10"/>
  <c r="L33" i="10" s="1"/>
  <c r="M33" i="10" s="1"/>
  <c r="O33" i="10" s="1"/>
  <c r="I32" i="10"/>
  <c r="L32" i="10" s="1"/>
  <c r="M32" i="10" s="1"/>
  <c r="O32" i="10" s="1"/>
  <c r="L34" i="10" l="1"/>
  <c r="M34" i="10" s="1"/>
  <c r="O34" i="10" s="1"/>
  <c r="J68" i="6" l="1"/>
  <c r="W13" i="42" l="1"/>
  <c r="G13" i="14" s="1"/>
  <c r="W15" i="42"/>
  <c r="G15" i="14" s="1"/>
  <c r="W16" i="42"/>
  <c r="G16" i="14" s="1"/>
  <c r="W17" i="42"/>
  <c r="G17" i="14" s="1"/>
  <c r="W18" i="42"/>
  <c r="G18" i="14" s="1"/>
  <c r="W19" i="42"/>
  <c r="G19" i="14" s="1"/>
  <c r="W20" i="42"/>
  <c r="G20" i="14" s="1"/>
  <c r="W23" i="42"/>
  <c r="G23" i="14" s="1"/>
  <c r="W24" i="42"/>
  <c r="G24" i="14" s="1"/>
  <c r="W25" i="42"/>
  <c r="G25" i="14" s="1"/>
  <c r="W26" i="42"/>
  <c r="G26" i="14" s="1"/>
  <c r="W27" i="42"/>
  <c r="G27" i="14" s="1"/>
  <c r="W28" i="42"/>
  <c r="G28" i="14" s="1"/>
  <c r="W29" i="42"/>
  <c r="G29" i="14" s="1"/>
  <c r="W31" i="42"/>
  <c r="G31" i="14" s="1"/>
  <c r="W32" i="42"/>
  <c r="G32" i="14" s="1"/>
  <c r="W34" i="42"/>
  <c r="G34" i="14" s="1"/>
  <c r="W35" i="42"/>
  <c r="G35" i="14" s="1"/>
  <c r="W36" i="42"/>
  <c r="G36" i="14" s="1"/>
  <c r="W37" i="42"/>
  <c r="G37" i="14" s="1"/>
  <c r="W38" i="42"/>
  <c r="G38" i="14" s="1"/>
  <c r="W39" i="42"/>
  <c r="G39" i="14" s="1"/>
  <c r="W40" i="42"/>
  <c r="G40" i="14" s="1"/>
  <c r="W41" i="42"/>
  <c r="G41" i="14" s="1"/>
  <c r="W42" i="42"/>
  <c r="G42" i="14" s="1"/>
  <c r="W44" i="42"/>
  <c r="G44" i="14" s="1"/>
  <c r="W45" i="42"/>
  <c r="G45" i="14" s="1"/>
  <c r="W47" i="42"/>
  <c r="G47" i="14" s="1"/>
  <c r="W49" i="42"/>
  <c r="G49" i="14" s="1"/>
  <c r="W50" i="42"/>
  <c r="G50" i="14" s="1"/>
  <c r="W51" i="42"/>
  <c r="G51" i="14" s="1"/>
  <c r="W52" i="42"/>
  <c r="G52" i="14" s="1"/>
  <c r="W53" i="42"/>
  <c r="G53" i="14" s="1"/>
  <c r="W54" i="42"/>
  <c r="G54" i="14" s="1"/>
  <c r="W55" i="42"/>
  <c r="G55" i="14" s="1"/>
  <c r="W56" i="42"/>
  <c r="G56" i="14" s="1"/>
  <c r="W57" i="42"/>
  <c r="G57" i="14" s="1"/>
  <c r="W58" i="42"/>
  <c r="G58" i="14" s="1"/>
  <c r="W59" i="42"/>
  <c r="G59" i="14" s="1"/>
  <c r="W60" i="42"/>
  <c r="G60" i="14" s="1"/>
  <c r="W61" i="42"/>
  <c r="G61" i="14" s="1"/>
  <c r="W62" i="42"/>
  <c r="G62" i="14" s="1"/>
  <c r="W63" i="42"/>
  <c r="G63" i="14" s="1"/>
  <c r="W64" i="42"/>
  <c r="G64" i="14" s="1"/>
  <c r="W65" i="42"/>
  <c r="G65" i="14" s="1"/>
  <c r="W68" i="42"/>
  <c r="G68" i="14" s="1"/>
  <c r="W69" i="42"/>
  <c r="G69" i="14" s="1"/>
  <c r="W73" i="42"/>
  <c r="G73" i="14" s="1"/>
  <c r="W74" i="42"/>
  <c r="G74" i="14" s="1"/>
  <c r="W76" i="42"/>
  <c r="G76" i="14" s="1"/>
  <c r="W78" i="42"/>
  <c r="G78" i="14" s="1"/>
  <c r="W80" i="42"/>
  <c r="G80" i="14" s="1"/>
  <c r="W82" i="42"/>
  <c r="G82" i="14" s="1"/>
  <c r="W84" i="42"/>
  <c r="G84" i="14" s="1"/>
  <c r="W85" i="42"/>
  <c r="G85" i="14" s="1"/>
  <c r="W86" i="42"/>
  <c r="G86" i="14" s="1"/>
  <c r="V13" i="45"/>
  <c r="V12" i="45"/>
  <c r="S13" i="45"/>
  <c r="S12" i="45"/>
  <c r="Q15" i="45"/>
  <c r="Q14" i="45"/>
  <c r="I31" i="10"/>
  <c r="L31" i="10" s="1"/>
  <c r="M31" i="10" s="1"/>
  <c r="I30" i="10"/>
  <c r="L30" i="10" s="1"/>
  <c r="M30" i="10" s="1"/>
  <c r="I29" i="10"/>
  <c r="Q16" i="45" l="1"/>
  <c r="Q20" i="45" s="1"/>
  <c r="S20" i="45" s="1"/>
  <c r="Q18" i="45"/>
  <c r="Q17" i="45"/>
  <c r="Q21" i="45" s="1"/>
  <c r="S21" i="45" s="1"/>
  <c r="Q19" i="45"/>
  <c r="V21" i="45"/>
  <c r="V20" i="45"/>
  <c r="V17" i="45"/>
  <c r="V16" i="45"/>
  <c r="V15" i="45"/>
  <c r="V14" i="45"/>
  <c r="S17" i="45"/>
  <c r="S16" i="45"/>
  <c r="S15" i="45"/>
  <c r="S14" i="45"/>
  <c r="L29" i="10"/>
  <c r="M29" i="10" s="1"/>
  <c r="O30" i="10"/>
  <c r="O31" i="10"/>
  <c r="V19" i="45" l="1"/>
  <c r="S19" i="45"/>
  <c r="V18" i="45"/>
  <c r="S18" i="45"/>
  <c r="O29" i="10"/>
  <c r="T86" i="42" l="1"/>
  <c r="T85" i="42"/>
  <c r="T84" i="42"/>
  <c r="T80" i="42"/>
  <c r="T78" i="42"/>
  <c r="T76" i="42"/>
  <c r="T74" i="42"/>
  <c r="T73" i="42"/>
  <c r="T69" i="42"/>
  <c r="T68" i="42"/>
  <c r="T65" i="42"/>
  <c r="T64" i="42"/>
  <c r="T63" i="42"/>
  <c r="T62" i="42"/>
  <c r="T61" i="42"/>
  <c r="T60" i="42"/>
  <c r="T59" i="42"/>
  <c r="T58" i="42"/>
  <c r="T57" i="42"/>
  <c r="T56" i="42"/>
  <c r="T55" i="42"/>
  <c r="T54" i="42"/>
  <c r="T53" i="42"/>
  <c r="T52" i="42"/>
  <c r="T51" i="42"/>
  <c r="T50" i="42"/>
  <c r="T49" i="42"/>
  <c r="T47" i="42"/>
  <c r="T45" i="42"/>
  <c r="T44" i="42"/>
  <c r="T42" i="42"/>
  <c r="T41" i="42"/>
  <c r="T40" i="42"/>
  <c r="T39" i="42"/>
  <c r="T38" i="42"/>
  <c r="T37" i="42"/>
  <c r="T36" i="42"/>
  <c r="T35" i="42"/>
  <c r="T34" i="42"/>
  <c r="T32" i="42"/>
  <c r="T31" i="42"/>
  <c r="T29" i="42"/>
  <c r="T28" i="42"/>
  <c r="T27" i="42"/>
  <c r="T26" i="42"/>
  <c r="T25" i="42"/>
  <c r="T24" i="42"/>
  <c r="T23" i="42"/>
  <c r="T20" i="42"/>
  <c r="T19" i="42"/>
  <c r="T18" i="42"/>
  <c r="T17" i="42"/>
  <c r="T16" i="42"/>
  <c r="T15" i="42"/>
  <c r="T13" i="42"/>
  <c r="J57" i="6" l="1"/>
  <c r="J55" i="6"/>
  <c r="J49" i="6"/>
  <c r="J31" i="6"/>
  <c r="J33" i="6"/>
  <c r="J32" i="6"/>
  <c r="J35" i="6"/>
  <c r="J34" i="6"/>
  <c r="J36" i="6"/>
  <c r="J24" i="6"/>
  <c r="P70" i="7" l="1"/>
  <c r="K70" i="7" l="1"/>
  <c r="J70" i="7"/>
  <c r="A12" i="21" l="1"/>
  <c r="A13" i="21" s="1"/>
  <c r="A14" i="21" s="1"/>
  <c r="A15" i="21" s="1"/>
  <c r="A16" i="21" s="1"/>
  <c r="A17" i="21" s="1"/>
  <c r="A18" i="21" s="1"/>
  <c r="A19" i="21" s="1"/>
  <c r="A20" i="21" s="1"/>
  <c r="A21" i="21" s="1"/>
  <c r="J59" i="6"/>
  <c r="J58" i="6"/>
  <c r="J56" i="6"/>
  <c r="J54" i="6"/>
  <c r="J53" i="6"/>
  <c r="A22" i="21" l="1"/>
  <c r="A23" i="21" s="1"/>
  <c r="A24" i="21" s="1"/>
  <c r="A25" i="21" s="1"/>
  <c r="A26" i="21" s="1"/>
  <c r="A11" i="29"/>
  <c r="A27" i="21" l="1"/>
  <c r="A12" i="29"/>
  <c r="A13" i="29" s="1"/>
  <c r="A14" i="29" s="1"/>
  <c r="J23" i="29"/>
  <c r="I23" i="29"/>
  <c r="G23" i="29"/>
  <c r="F23" i="29"/>
  <c r="E23" i="29"/>
  <c r="C22" i="29"/>
  <c r="C31" i="29" s="1"/>
  <c r="C21" i="29"/>
  <c r="C20" i="29"/>
  <c r="C30" i="29" s="1"/>
  <c r="H23" i="29"/>
  <c r="J15" i="29"/>
  <c r="I15" i="29"/>
  <c r="H15" i="29"/>
  <c r="G15" i="29"/>
  <c r="F15" i="29"/>
  <c r="E15" i="29"/>
  <c r="C14" i="29"/>
  <c r="C13" i="29"/>
  <c r="A15" i="29" l="1"/>
  <c r="A16" i="29" s="1"/>
  <c r="A17" i="29" s="1"/>
  <c r="A18" i="29" s="1"/>
  <c r="A19" i="29" s="1"/>
  <c r="A20" i="29" s="1"/>
  <c r="A21" i="29" s="1"/>
  <c r="A22" i="29" s="1"/>
  <c r="A23" i="29" s="1"/>
  <c r="A24" i="29" s="1"/>
  <c r="A25" i="29" s="1"/>
  <c r="A26" i="29" s="1"/>
  <c r="A27" i="29" s="1"/>
  <c r="A28" i="29" s="1"/>
  <c r="A29" i="29" s="1"/>
  <c r="A30" i="29" s="1"/>
  <c r="A31" i="29" s="1"/>
  <c r="A28" i="2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I26" i="29"/>
  <c r="H26" i="29"/>
  <c r="E26" i="29"/>
  <c r="J26" i="29"/>
  <c r="F26" i="29"/>
  <c r="C15" i="29"/>
  <c r="G26" i="29"/>
  <c r="C19" i="29"/>
  <c r="C23" i="29" s="1"/>
  <c r="A72" i="21" l="1"/>
  <c r="A73" i="21" s="1"/>
  <c r="A74" i="21" s="1"/>
  <c r="A75" i="21" s="1"/>
  <c r="A76" i="21" s="1"/>
  <c r="A77" i="21" s="1"/>
  <c r="A78" i="21" s="1"/>
  <c r="A79" i="21" s="1"/>
  <c r="A80" i="21" s="1"/>
  <c r="A81" i="21" s="1"/>
  <c r="A82" i="21" s="1"/>
  <c r="A83" i="21" s="1"/>
  <c r="A84" i="21" s="1"/>
  <c r="A85" i="21" s="1"/>
  <c r="A86" i="21" s="1"/>
  <c r="A87" i="21" s="1"/>
  <c r="A88" i="21" s="1"/>
  <c r="A89" i="21" s="1"/>
  <c r="C26" i="29"/>
  <c r="D18" i="48" l="1"/>
  <c r="E46" i="42" l="1"/>
  <c r="E46" i="14" s="1"/>
  <c r="Y19" i="42"/>
  <c r="K19" i="42"/>
  <c r="G19" i="42"/>
  <c r="T46" i="42" l="1"/>
  <c r="W46" i="42"/>
  <c r="G46" i="14" s="1"/>
  <c r="T48" i="42"/>
  <c r="W48" i="42"/>
  <c r="G48" i="14" s="1"/>
  <c r="H19" i="42"/>
  <c r="M19" i="42"/>
  <c r="N19" i="42" l="1"/>
  <c r="P19" i="42"/>
  <c r="Q19" i="42" s="1"/>
  <c r="D19" i="14" l="1"/>
  <c r="U19" i="42"/>
  <c r="Z19" i="42"/>
  <c r="AA19" i="42" s="1"/>
  <c r="N70" i="7"/>
  <c r="O70" i="7"/>
  <c r="M70" i="7"/>
  <c r="V19" i="42" l="1"/>
  <c r="F19" i="14"/>
  <c r="A11" i="4"/>
  <c r="A11" i="2" l="1"/>
  <c r="A12" i="2" s="1"/>
  <c r="A13" i="2" s="1"/>
  <c r="A14" i="2" s="1"/>
  <c r="A15" i="2" s="1"/>
  <c r="A16" i="2" s="1"/>
  <c r="A17" i="2" s="1"/>
  <c r="A18" i="2" s="1"/>
  <c r="A19" i="2" s="1"/>
  <c r="A20" i="2" s="1"/>
  <c r="A21" i="2" s="1"/>
  <c r="A22" i="2" s="1"/>
  <c r="A23" i="2"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3" i="26"/>
  <c r="A3" i="33"/>
  <c r="A3" i="32"/>
  <c r="A3" i="31"/>
  <c r="A3" i="1"/>
  <c r="A3" i="2"/>
  <c r="A3" i="3"/>
  <c r="A3" i="4"/>
  <c r="A3" i="5"/>
  <c r="A3" i="7"/>
  <c r="A3" i="9"/>
  <c r="A3" i="14"/>
  <c r="A3" i="16"/>
  <c r="A3" i="43"/>
  <c r="A3" i="38"/>
  <c r="A3" i="37"/>
  <c r="A3" i="40"/>
  <c r="A3" i="41"/>
  <c r="A3" i="39"/>
  <c r="A3" i="15"/>
  <c r="A3" i="49"/>
  <c r="A3" i="17"/>
  <c r="A3" i="18"/>
  <c r="A3" i="29"/>
  <c r="A3" i="48"/>
  <c r="A3" i="19"/>
  <c r="A3" i="47"/>
  <c r="A3" i="21"/>
  <c r="A3" i="23"/>
  <c r="A3" i="20"/>
  <c r="A3" i="6"/>
  <c r="A3" i="30"/>
  <c r="A3" i="8"/>
  <c r="A3" i="10"/>
  <c r="A3" i="11"/>
  <c r="A3" i="12"/>
  <c r="A3" i="42"/>
  <c r="A3" i="45"/>
  <c r="A3" i="27"/>
  <c r="J48" i="6" l="1"/>
  <c r="J47" i="6"/>
  <c r="J46" i="6"/>
  <c r="Y48" i="42" l="1"/>
  <c r="G48" i="42"/>
  <c r="E43" i="42"/>
  <c r="E43" i="14" s="1"/>
  <c r="E33" i="42"/>
  <c r="E33" i="14" s="1"/>
  <c r="Y31" i="42"/>
  <c r="K31" i="42"/>
  <c r="G31" i="42"/>
  <c r="Y32" i="42"/>
  <c r="K32" i="42"/>
  <c r="G32" i="42"/>
  <c r="P48" i="42" l="1"/>
  <c r="D48" i="14" s="1"/>
  <c r="T43" i="42"/>
  <c r="W43" i="42"/>
  <c r="G43" i="14" s="1"/>
  <c r="T33" i="42"/>
  <c r="W33" i="42"/>
  <c r="G33" i="14" s="1"/>
  <c r="M31" i="42"/>
  <c r="H32" i="42"/>
  <c r="H48" i="42"/>
  <c r="H31" i="42"/>
  <c r="M32" i="42"/>
  <c r="P32" i="42" s="1"/>
  <c r="D32" i="14" l="1"/>
  <c r="N31" i="42"/>
  <c r="N32" i="42"/>
  <c r="P31" i="42"/>
  <c r="N48" i="42"/>
  <c r="K48" i="42"/>
  <c r="Z31" i="42" l="1"/>
  <c r="AA31" i="42" s="1"/>
  <c r="D31" i="14"/>
  <c r="Q31" i="42"/>
  <c r="Q32" i="42"/>
  <c r="Z32" i="42"/>
  <c r="AA32" i="42" s="1"/>
  <c r="U31" i="42" l="1"/>
  <c r="F31" i="14" s="1"/>
  <c r="U32" i="42"/>
  <c r="F32" i="14" s="1"/>
  <c r="Q48" i="42"/>
  <c r="Z48" i="42"/>
  <c r="AA48" i="42" s="1"/>
  <c r="V32" i="42" l="1"/>
  <c r="U48" i="42"/>
  <c r="F48" i="14" s="1"/>
  <c r="V31" i="42"/>
  <c r="V48" i="42" l="1"/>
  <c r="J36" i="10" l="1"/>
  <c r="I28" i="10"/>
  <c r="I27" i="10"/>
  <c r="L27" i="10" s="1"/>
  <c r="M27" i="10" s="1"/>
  <c r="L28" i="10" l="1"/>
  <c r="O28" i="10" s="1"/>
  <c r="O27" i="10"/>
  <c r="M28" i="10" l="1"/>
  <c r="E11" i="23" l="1"/>
  <c r="E12" i="23"/>
  <c r="E13" i="23"/>
  <c r="D32" i="19"/>
  <c r="F30" i="19"/>
  <c r="E15" i="5" s="1"/>
  <c r="H26" i="49" l="1"/>
  <c r="A23" i="49"/>
  <c r="A24" i="49" s="1"/>
  <c r="A25" i="49" s="1"/>
  <c r="A26" i="49" s="1"/>
  <c r="A27" i="49" l="1"/>
  <c r="A28" i="49" s="1"/>
  <c r="A10" i="15"/>
  <c r="A11" i="15" s="1"/>
  <c r="A29" i="49" l="1"/>
  <c r="A30" i="49" s="1"/>
  <c r="A31" i="49" s="1"/>
  <c r="A32" i="49" s="1"/>
  <c r="A33" i="49" s="1"/>
  <c r="A34" i="49" s="1"/>
  <c r="A35" i="49" s="1"/>
  <c r="A36" i="49" s="1"/>
  <c r="A37" i="49" s="1"/>
  <c r="A38" i="49" s="1"/>
  <c r="A39" i="49" s="1"/>
  <c r="A40" i="49" s="1"/>
  <c r="A41" i="49" s="1"/>
  <c r="A42" i="49" s="1"/>
  <c r="A43" i="49" s="1"/>
  <c r="A44" i="49" s="1"/>
  <c r="A45" i="49" s="1"/>
  <c r="A46" i="49" s="1"/>
  <c r="A12" i="15"/>
  <c r="A13" i="15" s="1"/>
  <c r="A14" i="15" s="1"/>
  <c r="A15" i="15" s="1"/>
  <c r="A16" i="15" s="1"/>
  <c r="Y56" i="42"/>
  <c r="G56" i="42"/>
  <c r="H56" i="42" l="1"/>
  <c r="M56" i="42"/>
  <c r="P56" i="42" s="1"/>
  <c r="K56" i="42"/>
  <c r="D56" i="14" l="1"/>
  <c r="N56" i="42"/>
  <c r="Q56" i="42" l="1"/>
  <c r="Z56" i="42"/>
  <c r="AA56" i="42" s="1"/>
  <c r="J50" i="6"/>
  <c r="J45" i="6"/>
  <c r="J42" i="6"/>
  <c r="J43" i="6"/>
  <c r="J37" i="6"/>
  <c r="J28" i="6"/>
  <c r="J27" i="6"/>
  <c r="J25" i="6"/>
  <c r="J20" i="6"/>
  <c r="J21" i="6"/>
  <c r="J19" i="6"/>
  <c r="A16" i="6"/>
  <c r="A17" i="6" s="1"/>
  <c r="J16" i="6"/>
  <c r="A18" i="6" l="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U56" i="42"/>
  <c r="F56" i="14" s="1"/>
  <c r="A48" i="6" l="1"/>
  <c r="A49" i="6" s="1"/>
  <c r="A50" i="6" s="1"/>
  <c r="V56" i="42"/>
  <c r="F11" i="18"/>
  <c r="F13" i="11"/>
  <c r="E29" i="9" s="1"/>
  <c r="B48" i="7"/>
  <c r="Q68" i="7"/>
  <c r="D26" i="7" s="1"/>
  <c r="D50" i="8" s="1"/>
  <c r="Q57" i="7"/>
  <c r="D15" i="7" s="1"/>
  <c r="D39" i="8" s="1"/>
  <c r="G20" i="15"/>
  <c r="F12" i="2" s="1"/>
  <c r="F46" i="2" s="1"/>
  <c r="E70" i="42"/>
  <c r="E70" i="14" s="1"/>
  <c r="E71" i="42"/>
  <c r="E71" i="14" s="1"/>
  <c r="E67" i="42"/>
  <c r="E67" i="14" s="1"/>
  <c r="Y77" i="42"/>
  <c r="G77" i="42"/>
  <c r="E77" i="42"/>
  <c r="E77" i="14" s="1"/>
  <c r="Y45" i="42"/>
  <c r="G45" i="42"/>
  <c r="K45" i="42"/>
  <c r="F17" i="40"/>
  <c r="J41" i="6"/>
  <c r="J22" i="6"/>
  <c r="J17" i="6"/>
  <c r="G668" i="47"/>
  <c r="L70" i="7"/>
  <c r="G72" i="21"/>
  <c r="G15" i="15"/>
  <c r="F14" i="2" s="1"/>
  <c r="F48" i="2" s="1"/>
  <c r="A14" i="37"/>
  <c r="A15" i="37" s="1"/>
  <c r="A16" i="37" s="1"/>
  <c r="A17" i="37" s="1"/>
  <c r="A18" i="37" s="1"/>
  <c r="A21" i="37" s="1"/>
  <c r="A24" i="37" s="1"/>
  <c r="Y46" i="42"/>
  <c r="K46" i="42"/>
  <c r="G46" i="42"/>
  <c r="E30" i="42"/>
  <c r="E30" i="14" s="1"/>
  <c r="G13" i="16"/>
  <c r="G12" i="16"/>
  <c r="N15" i="45"/>
  <c r="N14" i="45"/>
  <c r="D72" i="21"/>
  <c r="J30" i="6"/>
  <c r="J23" i="6"/>
  <c r="N40" i="10"/>
  <c r="L40" i="10"/>
  <c r="N39" i="10"/>
  <c r="L39" i="10"/>
  <c r="M39" i="10" s="1"/>
  <c r="N15" i="10"/>
  <c r="I26" i="10"/>
  <c r="L26" i="10" s="1"/>
  <c r="M26" i="10" s="1"/>
  <c r="I25" i="10"/>
  <c r="L25" i="10" s="1"/>
  <c r="I24" i="10"/>
  <c r="L24" i="10" s="1"/>
  <c r="M24" i="10" s="1"/>
  <c r="I23" i="10"/>
  <c r="L23" i="10" s="1"/>
  <c r="M23" i="10" s="1"/>
  <c r="I22" i="10"/>
  <c r="L22" i="10" s="1"/>
  <c r="I21" i="10"/>
  <c r="L21" i="10" s="1"/>
  <c r="M21" i="10" s="1"/>
  <c r="I20" i="10"/>
  <c r="L20" i="10" s="1"/>
  <c r="M20" i="10" s="1"/>
  <c r="I19" i="10"/>
  <c r="L19" i="10" s="1"/>
  <c r="M19" i="10" s="1"/>
  <c r="I18" i="10"/>
  <c r="L18" i="10" s="1"/>
  <c r="I17" i="10"/>
  <c r="L17" i="10" s="1"/>
  <c r="M17" i="10" s="1"/>
  <c r="I16" i="10"/>
  <c r="L16" i="10" s="1"/>
  <c r="M16" i="10" s="1"/>
  <c r="I15" i="10"/>
  <c r="G12" i="42"/>
  <c r="E27" i="8"/>
  <c r="B27" i="8"/>
  <c r="E49" i="17"/>
  <c r="B12" i="14"/>
  <c r="C12" i="14"/>
  <c r="Y30" i="42"/>
  <c r="G30" i="42"/>
  <c r="Y76" i="42"/>
  <c r="K76" i="42"/>
  <c r="G76" i="42"/>
  <c r="D23" i="19"/>
  <c r="Q58" i="7"/>
  <c r="D16" i="7" s="1"/>
  <c r="D40" i="8" s="1"/>
  <c r="Q59" i="7"/>
  <c r="D17" i="7" s="1"/>
  <c r="D41" i="8" s="1"/>
  <c r="Q60" i="7"/>
  <c r="D18" i="7" s="1"/>
  <c r="D42" i="8" s="1"/>
  <c r="Q61" i="7"/>
  <c r="D19" i="7" s="1"/>
  <c r="D43" i="8" s="1"/>
  <c r="Q62" i="7"/>
  <c r="D20" i="7" s="1"/>
  <c r="D44" i="8" s="1"/>
  <c r="Q63" i="7"/>
  <c r="D21" i="7" s="1"/>
  <c r="D45" i="8" s="1"/>
  <c r="Q64" i="7"/>
  <c r="D22" i="7" s="1"/>
  <c r="D46" i="8" s="1"/>
  <c r="Q65" i="7"/>
  <c r="D23" i="7" s="1"/>
  <c r="Q66" i="7"/>
  <c r="D24" i="7" s="1"/>
  <c r="Q67" i="7"/>
  <c r="D25" i="7" s="1"/>
  <c r="X13" i="45"/>
  <c r="X14" i="45"/>
  <c r="X15" i="45"/>
  <c r="X16" i="45"/>
  <c r="X17" i="45"/>
  <c r="X20" i="45"/>
  <c r="X21" i="45"/>
  <c r="X12" i="45"/>
  <c r="E72" i="21"/>
  <c r="F72" i="21"/>
  <c r="H72" i="21"/>
  <c r="I72" i="21"/>
  <c r="J72" i="21"/>
  <c r="L72" i="21"/>
  <c r="M72" i="21"/>
  <c r="A16" i="10"/>
  <c r="A17" i="10" s="1"/>
  <c r="A18" i="10" s="1"/>
  <c r="A19" i="10" s="1"/>
  <c r="A20" i="10" s="1"/>
  <c r="A21" i="10" s="1"/>
  <c r="A22" i="10" s="1"/>
  <c r="A23" i="10" s="1"/>
  <c r="A24" i="10" s="1"/>
  <c r="A25" i="10" s="1"/>
  <c r="A26" i="10" s="1"/>
  <c r="A27" i="10" s="1"/>
  <c r="A28" i="10" s="1"/>
  <c r="A29" i="10" s="1"/>
  <c r="A30" i="10" s="1"/>
  <c r="A31" i="10" s="1"/>
  <c r="A32" i="10" s="1"/>
  <c r="Y33" i="42"/>
  <c r="G33" i="42"/>
  <c r="Y20" i="42"/>
  <c r="G20" i="42"/>
  <c r="Y13" i="42"/>
  <c r="G13" i="42"/>
  <c r="K13" i="42"/>
  <c r="K33" i="42"/>
  <c r="K20" i="42"/>
  <c r="Y14" i="42"/>
  <c r="Y15" i="42"/>
  <c r="Y16" i="42"/>
  <c r="Y17" i="42"/>
  <c r="Y18" i="42"/>
  <c r="Y23" i="42"/>
  <c r="Y24" i="42"/>
  <c r="Y25" i="42"/>
  <c r="Y26" i="42"/>
  <c r="Y27" i="42"/>
  <c r="Y28" i="42"/>
  <c r="Y29" i="42"/>
  <c r="Y34" i="42"/>
  <c r="Y35" i="42"/>
  <c r="Y36" i="42"/>
  <c r="Y37" i="42"/>
  <c r="Y38" i="42"/>
  <c r="Y39" i="42"/>
  <c r="Y40" i="42"/>
  <c r="Y41" i="42"/>
  <c r="Y42" i="42"/>
  <c r="Y43" i="42"/>
  <c r="Y44" i="42"/>
  <c r="Y47" i="42"/>
  <c r="Y49" i="42"/>
  <c r="Y50" i="42"/>
  <c r="Y51" i="42"/>
  <c r="Y52" i="42"/>
  <c r="Y53" i="42"/>
  <c r="Y54" i="42"/>
  <c r="Y55" i="42"/>
  <c r="Y57" i="42"/>
  <c r="Y58" i="42"/>
  <c r="Y59" i="42"/>
  <c r="Y60" i="42"/>
  <c r="Y61" i="42"/>
  <c r="Y62" i="42"/>
  <c r="Y63" i="42"/>
  <c r="Y64" i="42"/>
  <c r="Y65" i="42"/>
  <c r="Y66" i="42"/>
  <c r="Y67" i="42"/>
  <c r="Y68" i="42"/>
  <c r="Y69" i="42"/>
  <c r="Y70" i="42"/>
  <c r="Y71" i="42"/>
  <c r="Y72" i="42"/>
  <c r="Y73" i="42"/>
  <c r="Y74" i="42"/>
  <c r="Y75" i="42"/>
  <c r="Y78" i="42"/>
  <c r="Y79" i="42"/>
  <c r="Y80" i="42"/>
  <c r="Y81" i="42"/>
  <c r="Y82" i="42"/>
  <c r="Y83" i="42"/>
  <c r="Y84" i="42"/>
  <c r="Y85" i="42"/>
  <c r="Y86" i="42"/>
  <c r="Y12" i="42"/>
  <c r="G75" i="42"/>
  <c r="E75" i="42"/>
  <c r="E75" i="14" s="1"/>
  <c r="A12" i="30"/>
  <c r="E70" i="7"/>
  <c r="A11" i="48"/>
  <c r="A12" i="48" s="1"/>
  <c r="A13" i="48" s="1"/>
  <c r="A14" i="48" s="1"/>
  <c r="D20" i="48"/>
  <c r="D22" i="48" s="1"/>
  <c r="D26" i="48" s="1"/>
  <c r="D14" i="48"/>
  <c r="D25" i="48" s="1"/>
  <c r="H70" i="7"/>
  <c r="I70" i="7"/>
  <c r="H23" i="43"/>
  <c r="H22" i="43"/>
  <c r="H21" i="43"/>
  <c r="H20" i="43"/>
  <c r="H19" i="43"/>
  <c r="H18" i="43"/>
  <c r="H17" i="43"/>
  <c r="H16" i="43"/>
  <c r="H15" i="43"/>
  <c r="H14" i="43"/>
  <c r="G23" i="43"/>
  <c r="J44" i="6"/>
  <c r="J15" i="6"/>
  <c r="J18" i="6"/>
  <c r="J29" i="6"/>
  <c r="J39" i="6"/>
  <c r="E83" i="42"/>
  <c r="E83" i="14" s="1"/>
  <c r="E81" i="42"/>
  <c r="E81" i="14" s="1"/>
  <c r="K78" i="42"/>
  <c r="G78" i="42"/>
  <c r="G22" i="43"/>
  <c r="G21" i="43"/>
  <c r="G20" i="43"/>
  <c r="G19" i="43"/>
  <c r="G18" i="43"/>
  <c r="G15" i="43"/>
  <c r="G14" i="43"/>
  <c r="G16" i="43"/>
  <c r="G17" i="43"/>
  <c r="F24" i="43"/>
  <c r="E55" i="43"/>
  <c r="F31" i="43"/>
  <c r="G81" i="42"/>
  <c r="E66" i="42"/>
  <c r="E66" i="14" s="1"/>
  <c r="K73" i="42"/>
  <c r="K74" i="42"/>
  <c r="G74" i="42"/>
  <c r="G73" i="42"/>
  <c r="F35" i="7"/>
  <c r="F36" i="7"/>
  <c r="F37" i="7"/>
  <c r="F38" i="7"/>
  <c r="F39" i="7"/>
  <c r="F40" i="7"/>
  <c r="F41" i="7"/>
  <c r="F42" i="7"/>
  <c r="F43" i="7"/>
  <c r="F44" i="7"/>
  <c r="F45" i="7"/>
  <c r="F46" i="7"/>
  <c r="F45" i="2"/>
  <c r="F47" i="2"/>
  <c r="F63" i="2"/>
  <c r="E14" i="42"/>
  <c r="E14" i="14" s="1"/>
  <c r="E12" i="42"/>
  <c r="W12" i="42" s="1"/>
  <c r="G86" i="42"/>
  <c r="E72" i="42"/>
  <c r="E72" i="14" s="1"/>
  <c r="G85" i="42"/>
  <c r="I17" i="45"/>
  <c r="J17" i="45" s="1"/>
  <c r="I16" i="45"/>
  <c r="J16" i="45" s="1"/>
  <c r="I15" i="45"/>
  <c r="I14" i="45"/>
  <c r="J14" i="45" s="1"/>
  <c r="I13" i="45"/>
  <c r="I12" i="45"/>
  <c r="G18" i="42"/>
  <c r="G80" i="42"/>
  <c r="E79" i="42"/>
  <c r="E79" i="14" s="1"/>
  <c r="G28" i="42"/>
  <c r="E13" i="16"/>
  <c r="E14" i="16"/>
  <c r="E15" i="16"/>
  <c r="E16" i="16"/>
  <c r="E17" i="16"/>
  <c r="E12" i="16"/>
  <c r="E40" i="43"/>
  <c r="G72" i="42"/>
  <c r="A8" i="30"/>
  <c r="F31" i="19"/>
  <c r="E16" i="5" s="1"/>
  <c r="J26" i="6"/>
  <c r="J38" i="6"/>
  <c r="J40" i="6"/>
  <c r="J51" i="6"/>
  <c r="J52" i="6"/>
  <c r="F70" i="6"/>
  <c r="D70" i="6"/>
  <c r="H70" i="6"/>
  <c r="B23" i="23"/>
  <c r="E14" i="12"/>
  <c r="C21" i="12" s="1"/>
  <c r="G42" i="10"/>
  <c r="G45" i="10" s="1"/>
  <c r="F42" i="10"/>
  <c r="F45" i="10" s="1"/>
  <c r="K42" i="10"/>
  <c r="K45" i="10" s="1"/>
  <c r="I42" i="10"/>
  <c r="J42" i="10"/>
  <c r="J45" i="10" s="1"/>
  <c r="G14" i="42"/>
  <c r="G15" i="42"/>
  <c r="G16" i="42"/>
  <c r="G17" i="42"/>
  <c r="G23" i="42"/>
  <c r="G24" i="42"/>
  <c r="G25" i="42"/>
  <c r="G26" i="42"/>
  <c r="G27" i="42"/>
  <c r="G29" i="42"/>
  <c r="G34" i="42"/>
  <c r="G35" i="42"/>
  <c r="G36" i="42"/>
  <c r="G37" i="42"/>
  <c r="G38" i="42"/>
  <c r="G39" i="42"/>
  <c r="G40" i="42"/>
  <c r="G41" i="42"/>
  <c r="G42" i="42"/>
  <c r="G43" i="42"/>
  <c r="G44" i="42"/>
  <c r="G47" i="42"/>
  <c r="G49" i="42"/>
  <c r="G50" i="42"/>
  <c r="G51" i="42"/>
  <c r="G52" i="42"/>
  <c r="G53" i="42"/>
  <c r="G54" i="42"/>
  <c r="G55" i="42"/>
  <c r="G57" i="42"/>
  <c r="G58" i="42"/>
  <c r="G59" i="42"/>
  <c r="G60" i="42"/>
  <c r="G61" i="42"/>
  <c r="G62" i="42"/>
  <c r="G63" i="42"/>
  <c r="G64" i="42"/>
  <c r="G65" i="42"/>
  <c r="G66" i="42"/>
  <c r="G67" i="42"/>
  <c r="G68" i="42"/>
  <c r="G69" i="42"/>
  <c r="G70" i="42"/>
  <c r="G71" i="42"/>
  <c r="G79" i="42"/>
  <c r="G82" i="42"/>
  <c r="G83" i="42"/>
  <c r="G84" i="42"/>
  <c r="K44" i="42"/>
  <c r="I70" i="6"/>
  <c r="E14" i="20"/>
  <c r="G14" i="20" s="1"/>
  <c r="C70" i="42"/>
  <c r="B70" i="14" s="1"/>
  <c r="C16" i="7"/>
  <c r="C40" i="8" s="1"/>
  <c r="C17" i="7"/>
  <c r="C41" i="8" s="1"/>
  <c r="C18" i="7"/>
  <c r="C42" i="8" s="1"/>
  <c r="C19" i="7"/>
  <c r="C43" i="8" s="1"/>
  <c r="C20" i="7"/>
  <c r="C21" i="7"/>
  <c r="C45" i="8" s="1"/>
  <c r="C22" i="7"/>
  <c r="C46" i="8" s="1"/>
  <c r="C23" i="7"/>
  <c r="C47" i="8" s="1"/>
  <c r="C24" i="7"/>
  <c r="C48" i="8" s="1"/>
  <c r="C25" i="7"/>
  <c r="C49" i="8" s="1"/>
  <c r="C26" i="7"/>
  <c r="C50" i="8" s="1"/>
  <c r="C15" i="7"/>
  <c r="F70" i="7"/>
  <c r="G70" i="7"/>
  <c r="B70" i="7"/>
  <c r="C70" i="7"/>
  <c r="D70" i="7"/>
  <c r="D23" i="45"/>
  <c r="F17" i="45"/>
  <c r="F16" i="45"/>
  <c r="F15" i="45"/>
  <c r="F14" i="45"/>
  <c r="F13" i="45"/>
  <c r="F12" i="45"/>
  <c r="A12" i="43"/>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12" i="14"/>
  <c r="F14" i="8"/>
  <c r="E15" i="7" s="1"/>
  <c r="G15" i="7" s="1"/>
  <c r="G39" i="8" s="1"/>
  <c r="F15" i="8"/>
  <c r="E16" i="7" s="1"/>
  <c r="F55" i="3"/>
  <c r="A11" i="5"/>
  <c r="A12" i="5" s="1"/>
  <c r="A13" i="5" s="1"/>
  <c r="A14" i="5" s="1"/>
  <c r="A15" i="5" s="1"/>
  <c r="F39" i="8"/>
  <c r="F40" i="8"/>
  <c r="F41" i="8"/>
  <c r="F42" i="8"/>
  <c r="F43" i="8"/>
  <c r="F44" i="8"/>
  <c r="F45" i="8"/>
  <c r="F46" i="8"/>
  <c r="F47" i="8"/>
  <c r="F48" i="8"/>
  <c r="F49" i="8"/>
  <c r="F50" i="8"/>
  <c r="E21" i="12"/>
  <c r="E14" i="23"/>
  <c r="E15" i="23"/>
  <c r="E16" i="23"/>
  <c r="E17" i="23"/>
  <c r="E18" i="23"/>
  <c r="E19" i="23"/>
  <c r="E20" i="23"/>
  <c r="E21" i="23"/>
  <c r="E22" i="23"/>
  <c r="A9" i="17"/>
  <c r="A10" i="17" s="1"/>
  <c r="A11" i="17" s="1"/>
  <c r="A12" i="17" s="1"/>
  <c r="A13" i="17" s="1"/>
  <c r="A14" i="17" s="1"/>
  <c r="A15" i="17" s="1"/>
  <c r="A16" i="17" s="1"/>
  <c r="A17" i="17" s="1"/>
  <c r="A18" i="17" s="1"/>
  <c r="A19" i="17" s="1"/>
  <c r="A20" i="17" s="1"/>
  <c r="A21" i="17" s="1"/>
  <c r="A22" i="17" s="1"/>
  <c r="A23" i="17" s="1"/>
  <c r="A24" i="17" s="1"/>
  <c r="A25" i="17" s="1"/>
  <c r="A26" i="17" s="1"/>
  <c r="A27" i="17" s="1"/>
  <c r="F12" i="4"/>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F33" i="4"/>
  <c r="F44" i="4"/>
  <c r="F52" i="4"/>
  <c r="E58" i="17"/>
  <c r="F18" i="3"/>
  <c r="C23" i="23"/>
  <c r="F16" i="19" s="1"/>
  <c r="E14" i="5" s="1"/>
  <c r="F28" i="7"/>
  <c r="E48" i="7"/>
  <c r="D48" i="7"/>
  <c r="C48" i="7"/>
  <c r="A14" i="40"/>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F44" i="32"/>
  <c r="A13" i="16"/>
  <c r="A14" i="16" s="1"/>
  <c r="A15" i="16" s="1"/>
  <c r="A16" i="16" s="1"/>
  <c r="A17" i="16" s="1"/>
  <c r="A18" i="16" s="1"/>
  <c r="A19" i="16" s="1"/>
  <c r="A17" i="15"/>
  <c r="A18" i="15" s="1"/>
  <c r="A19" i="15" s="1"/>
  <c r="A20" i="15" s="1"/>
  <c r="A13" i="20"/>
  <c r="A14" i="20" s="1"/>
  <c r="A15" i="20" s="1"/>
  <c r="D22" i="30"/>
  <c r="D23" i="23"/>
  <c r="D27" i="19"/>
  <c r="F27" i="19"/>
  <c r="F23" i="19"/>
  <c r="B12" i="18"/>
  <c r="B13" i="18" s="1"/>
  <c r="A12" i="4"/>
  <c r="A13" i="4" s="1"/>
  <c r="A14" i="4" s="1"/>
  <c r="A15" i="4" s="1"/>
  <c r="A16" i="4" s="1"/>
  <c r="A11" i="9"/>
  <c r="A12" i="9" s="1"/>
  <c r="A13" i="9" s="1"/>
  <c r="A14" i="9" s="1"/>
  <c r="A15" i="9" s="1"/>
  <c r="A16" i="9" s="1"/>
  <c r="A17" i="9" s="1"/>
  <c r="A18" i="9" s="1"/>
  <c r="A19" i="9" s="1"/>
  <c r="A20" i="9" s="1"/>
  <c r="A21" i="9" s="1"/>
  <c r="A22" i="9" s="1"/>
  <c r="A23" i="9" s="1"/>
  <c r="A24" i="9" s="1"/>
  <c r="F16" i="8"/>
  <c r="E17" i="7" s="1"/>
  <c r="G17" i="7" s="1"/>
  <c r="G41" i="8" s="1"/>
  <c r="F17" i="8"/>
  <c r="F18" i="8"/>
  <c r="E19" i="7" s="1"/>
  <c r="G19" i="7" s="1"/>
  <c r="G43" i="8" s="1"/>
  <c r="F19" i="8"/>
  <c r="E20" i="7" s="1"/>
  <c r="G20" i="7" s="1"/>
  <c r="G44" i="8" s="1"/>
  <c r="F20" i="8"/>
  <c r="E21" i="7" s="1"/>
  <c r="G21" i="7" s="1"/>
  <c r="G45" i="8" s="1"/>
  <c r="F21" i="8"/>
  <c r="E22" i="7" s="1"/>
  <c r="G22" i="7" s="1"/>
  <c r="G46" i="8" s="1"/>
  <c r="F22" i="8"/>
  <c r="E23" i="7" s="1"/>
  <c r="G23" i="7" s="1"/>
  <c r="G47" i="8" s="1"/>
  <c r="F23" i="8"/>
  <c r="E24" i="7" s="1"/>
  <c r="G24" i="7" s="1"/>
  <c r="G48" i="8" s="1"/>
  <c r="F24" i="8"/>
  <c r="E25" i="7" s="1"/>
  <c r="E49" i="8" s="1"/>
  <c r="F25" i="8"/>
  <c r="E26" i="7" s="1"/>
  <c r="G26" i="7" s="1"/>
  <c r="G50" i="8" s="1"/>
  <c r="C27" i="8"/>
  <c r="D27" i="8"/>
  <c r="F18" i="4"/>
  <c r="F51" i="3"/>
  <c r="M12" i="45"/>
  <c r="M15" i="45"/>
  <c r="M14" i="45"/>
  <c r="M17" i="45"/>
  <c r="M13" i="45"/>
  <c r="M16" i="45"/>
  <c r="K72" i="21"/>
  <c r="D18" i="19"/>
  <c r="H31" i="43"/>
  <c r="G31" i="43"/>
  <c r="N16" i="45" l="1"/>
  <c r="G16" i="16" s="1"/>
  <c r="T18" i="45"/>
  <c r="U18" i="45" s="1"/>
  <c r="N17" i="45"/>
  <c r="G17" i="16" s="1"/>
  <c r="T19" i="45"/>
  <c r="U19" i="45" s="1"/>
  <c r="P20" i="42"/>
  <c r="D20" i="14" s="1"/>
  <c r="F88" i="21"/>
  <c r="G13" i="20"/>
  <c r="G15" i="20" s="1"/>
  <c r="E21" i="5" s="1"/>
  <c r="A51" i="6"/>
  <c r="A52" i="6" s="1"/>
  <c r="A53" i="6" s="1"/>
  <c r="A54" i="6" s="1"/>
  <c r="A55" i="6" s="1"/>
  <c r="A56" i="6" s="1"/>
  <c r="A57" i="6" s="1"/>
  <c r="A58" i="6" s="1"/>
  <c r="A59" i="6" s="1"/>
  <c r="A60" i="6" s="1"/>
  <c r="A61" i="6" s="1"/>
  <c r="N36" i="10"/>
  <c r="L15" i="10"/>
  <c r="L36" i="10" s="1"/>
  <c r="I36" i="10"/>
  <c r="I45" i="10" s="1"/>
  <c r="T79" i="42"/>
  <c r="W79" i="42"/>
  <c r="G79" i="14" s="1"/>
  <c r="T66" i="42"/>
  <c r="W66" i="42"/>
  <c r="G66" i="14" s="1"/>
  <c r="T30" i="42"/>
  <c r="W30" i="42"/>
  <c r="G30" i="14" s="1"/>
  <c r="T70" i="42"/>
  <c r="W70" i="42"/>
  <c r="G70" i="14" s="1"/>
  <c r="T14" i="42"/>
  <c r="W14" i="42"/>
  <c r="G14" i="14" s="1"/>
  <c r="T83" i="42"/>
  <c r="W83" i="42"/>
  <c r="G83" i="14" s="1"/>
  <c r="T75" i="42"/>
  <c r="W75" i="42"/>
  <c r="G75" i="14" s="1"/>
  <c r="T81" i="42"/>
  <c r="W81" i="42"/>
  <c r="G81" i="14" s="1"/>
  <c r="T77" i="42"/>
  <c r="W77" i="42"/>
  <c r="G77" i="14" s="1"/>
  <c r="T72" i="42"/>
  <c r="W72" i="42"/>
  <c r="G72" i="14" s="1"/>
  <c r="T67" i="42"/>
  <c r="W67" i="42"/>
  <c r="G67" i="14" s="1"/>
  <c r="T71" i="42"/>
  <c r="W71" i="42"/>
  <c r="G71" i="14" s="1"/>
  <c r="G15" i="45"/>
  <c r="G16" i="45"/>
  <c r="G12" i="45"/>
  <c r="G13" i="45"/>
  <c r="G14" i="45"/>
  <c r="E15" i="9"/>
  <c r="H12" i="42"/>
  <c r="T12" i="42"/>
  <c r="H17" i="42"/>
  <c r="J36" i="42"/>
  <c r="M36" i="42" s="1"/>
  <c r="J23" i="42"/>
  <c r="K23" i="42" s="1"/>
  <c r="H74" i="42"/>
  <c r="H63" i="42"/>
  <c r="H35" i="42"/>
  <c r="H53" i="42"/>
  <c r="H54" i="42"/>
  <c r="H27" i="42"/>
  <c r="H43" i="42"/>
  <c r="J66" i="42"/>
  <c r="M66" i="42" s="1"/>
  <c r="J12" i="42"/>
  <c r="M12" i="42" s="1"/>
  <c r="G14" i="16"/>
  <c r="J54" i="42"/>
  <c r="M54" i="42" s="1"/>
  <c r="J63" i="42"/>
  <c r="M63" i="42" s="1"/>
  <c r="Y16" i="45"/>
  <c r="I20" i="43"/>
  <c r="Y13" i="45"/>
  <c r="O12" i="45"/>
  <c r="P12" i="45" s="1"/>
  <c r="I16" i="43"/>
  <c r="Y14" i="45"/>
  <c r="Y15" i="45"/>
  <c r="Y17" i="45"/>
  <c r="E46" i="43"/>
  <c r="E12" i="1" s="1"/>
  <c r="O15" i="45"/>
  <c r="P15" i="45" s="1"/>
  <c r="J65" i="42"/>
  <c r="M65" i="42" s="1"/>
  <c r="J47" i="42"/>
  <c r="H24" i="42"/>
  <c r="J13" i="45"/>
  <c r="O13" i="45"/>
  <c r="P13" i="45" s="1"/>
  <c r="H82" i="42"/>
  <c r="H57" i="42"/>
  <c r="H37" i="42"/>
  <c r="H55" i="42"/>
  <c r="J64" i="42"/>
  <c r="O14" i="45"/>
  <c r="P14" i="45" s="1"/>
  <c r="I14" i="43"/>
  <c r="H20" i="42"/>
  <c r="A36" i="40"/>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17" i="4"/>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O16" i="45"/>
  <c r="P16" i="45" s="1"/>
  <c r="H77" i="42"/>
  <c r="H52" i="42"/>
  <c r="J41" i="42"/>
  <c r="K41" i="42" s="1"/>
  <c r="J15" i="45"/>
  <c r="H36" i="42"/>
  <c r="M44" i="42"/>
  <c r="O17" i="45"/>
  <c r="P17" i="45" s="1"/>
  <c r="I15" i="43"/>
  <c r="A25" i="9"/>
  <c r="A26" i="9" s="1"/>
  <c r="A27" i="9" s="1"/>
  <c r="A28" i="9" s="1"/>
  <c r="A29" i="9" s="1"/>
  <c r="A30" i="9" s="1"/>
  <c r="A31" i="9" s="1"/>
  <c r="A32" i="9" s="1"/>
  <c r="A33" i="9" s="1"/>
  <c r="A34" i="9" s="1"/>
  <c r="A35" i="9" s="1"/>
  <c r="A36" i="9" s="1"/>
  <c r="A37" i="9" s="1"/>
  <c r="A38" i="9" s="1"/>
  <c r="A39" i="9" s="1"/>
  <c r="A40" i="9" s="1"/>
  <c r="A41" i="9" s="1"/>
  <c r="A42" i="9" s="1"/>
  <c r="A43" i="9" s="1"/>
  <c r="A44" i="9" s="1"/>
  <c r="A45" i="9" s="1"/>
  <c r="A46" i="9" s="1"/>
  <c r="H23" i="42"/>
  <c r="H67" i="42"/>
  <c r="J39" i="42"/>
  <c r="K39" i="42" s="1"/>
  <c r="J26" i="42"/>
  <c r="M26" i="42" s="1"/>
  <c r="E57" i="43"/>
  <c r="E47" i="1" s="1"/>
  <c r="A28" i="17"/>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Y20" i="45"/>
  <c r="A13" i="30"/>
  <c r="A14" i="30" s="1"/>
  <c r="A15" i="30" s="1"/>
  <c r="A16" i="30" s="1"/>
  <c r="A17" i="30" s="1"/>
  <c r="F32" i="19"/>
  <c r="E23" i="23"/>
  <c r="A15" i="48"/>
  <c r="A16" i="48" s="1"/>
  <c r="A17" i="48" s="1"/>
  <c r="A18" i="48" s="1"/>
  <c r="A19" i="48" s="1"/>
  <c r="A20" i="48" s="1"/>
  <c r="A21" i="48" s="1"/>
  <c r="A22" i="48" s="1"/>
  <c r="H47" i="42"/>
  <c r="J40" i="42"/>
  <c r="M40" i="42" s="1"/>
  <c r="J85" i="42"/>
  <c r="K85" i="42" s="1"/>
  <c r="H73" i="42"/>
  <c r="M30" i="42"/>
  <c r="H65" i="42"/>
  <c r="J69" i="42"/>
  <c r="K69" i="42" s="1"/>
  <c r="H50" i="42"/>
  <c r="H39" i="42"/>
  <c r="H26" i="42"/>
  <c r="M76" i="42"/>
  <c r="H68" i="42"/>
  <c r="H58" i="42"/>
  <c r="H49" i="42"/>
  <c r="H38" i="42"/>
  <c r="H25" i="42"/>
  <c r="M33" i="42"/>
  <c r="P33" i="42" s="1"/>
  <c r="H71" i="42"/>
  <c r="H84" i="42"/>
  <c r="J67" i="42"/>
  <c r="J57" i="42"/>
  <c r="J72" i="42"/>
  <c r="M72" i="42" s="1"/>
  <c r="M77" i="42"/>
  <c r="N20" i="42"/>
  <c r="J82" i="42"/>
  <c r="J43" i="42"/>
  <c r="K43" i="42" s="1"/>
  <c r="J80" i="42"/>
  <c r="H41" i="42"/>
  <c r="J79" i="42"/>
  <c r="H62" i="42"/>
  <c r="J53" i="42"/>
  <c r="M53" i="42" s="1"/>
  <c r="H34" i="42"/>
  <c r="J16" i="42"/>
  <c r="M81" i="42"/>
  <c r="H45" i="42"/>
  <c r="A16" i="5"/>
  <c r="A17" i="5" s="1"/>
  <c r="A78" i="3"/>
  <c r="A79" i="3" s="1"/>
  <c r="A24" i="2"/>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E11" i="1"/>
  <c r="J25" i="42"/>
  <c r="K25" i="42" s="1"/>
  <c r="J38" i="42"/>
  <c r="M38" i="42" s="1"/>
  <c r="J49" i="42"/>
  <c r="J62" i="42"/>
  <c r="H66" i="42"/>
  <c r="M73" i="42"/>
  <c r="G21" i="12"/>
  <c r="E42" i="9" s="1"/>
  <c r="O26" i="10"/>
  <c r="N42" i="10"/>
  <c r="O40" i="10"/>
  <c r="O21" i="10"/>
  <c r="K81" i="42"/>
  <c r="H81" i="42"/>
  <c r="D34" i="19"/>
  <c r="J27" i="42"/>
  <c r="J18" i="42"/>
  <c r="H60" i="42"/>
  <c r="H29" i="42"/>
  <c r="H40" i="42"/>
  <c r="J86" i="42"/>
  <c r="K75" i="42"/>
  <c r="J70" i="42"/>
  <c r="M70" i="42" s="1"/>
  <c r="H70" i="42"/>
  <c r="H51" i="42"/>
  <c r="J51" i="42"/>
  <c r="J15" i="42"/>
  <c r="H15" i="42"/>
  <c r="F48" i="3"/>
  <c r="H69" i="42"/>
  <c r="H59" i="42"/>
  <c r="J50" i="42"/>
  <c r="H14" i="42"/>
  <c r="J14" i="42"/>
  <c r="K14" i="42" s="1"/>
  <c r="Y12" i="45"/>
  <c r="H18" i="42"/>
  <c r="I23" i="43"/>
  <c r="M13" i="42"/>
  <c r="H83" i="42"/>
  <c r="I21" i="43"/>
  <c r="G15" i="16"/>
  <c r="G17" i="45"/>
  <c r="F52" i="8"/>
  <c r="B16" i="7"/>
  <c r="B40" i="8" s="1"/>
  <c r="E88" i="42"/>
  <c r="E91" i="14" s="1"/>
  <c r="Y21" i="45"/>
  <c r="E12" i="14"/>
  <c r="I22" i="43"/>
  <c r="M23" i="45"/>
  <c r="E60" i="17"/>
  <c r="F77" i="3" s="1"/>
  <c r="H44" i="42"/>
  <c r="J24" i="42"/>
  <c r="J55" i="42"/>
  <c r="M55" i="42" s="1"/>
  <c r="G12" i="14"/>
  <c r="M74" i="42"/>
  <c r="H13" i="42"/>
  <c r="B25" i="7"/>
  <c r="B49" i="8" s="1"/>
  <c r="M45" i="42"/>
  <c r="K30" i="42"/>
  <c r="H79" i="42"/>
  <c r="K77" i="42"/>
  <c r="F15" i="2"/>
  <c r="F49" i="2"/>
  <c r="L42" i="10"/>
  <c r="O39" i="10"/>
  <c r="M40" i="10"/>
  <c r="F87" i="21"/>
  <c r="G665" i="47"/>
  <c r="J72" i="6"/>
  <c r="E23" i="5" s="1"/>
  <c r="E40" i="8"/>
  <c r="E47" i="8"/>
  <c r="E45" i="8"/>
  <c r="G16" i="7"/>
  <c r="G40" i="8" s="1"/>
  <c r="G25" i="7"/>
  <c r="G49" i="8" s="1"/>
  <c r="B23" i="7"/>
  <c r="B47" i="8" s="1"/>
  <c r="E46" i="8"/>
  <c r="B21" i="7"/>
  <c r="B45" i="8" s="1"/>
  <c r="B20" i="7"/>
  <c r="B44" i="8" s="1"/>
  <c r="F48" i="7"/>
  <c r="C28" i="7" s="1"/>
  <c r="B17" i="7"/>
  <c r="B41" i="8" s="1"/>
  <c r="C44" i="8"/>
  <c r="E39" i="8"/>
  <c r="E41" i="8"/>
  <c r="E43" i="8"/>
  <c r="B26" i="7"/>
  <c r="B50" i="8" s="1"/>
  <c r="D47" i="8"/>
  <c r="D49" i="8"/>
  <c r="B22" i="7"/>
  <c r="B46" i="8" s="1"/>
  <c r="B24" i="7"/>
  <c r="B48" i="8" s="1"/>
  <c r="D48" i="8"/>
  <c r="F27" i="8"/>
  <c r="E18" i="7"/>
  <c r="E50" i="8"/>
  <c r="E44" i="8"/>
  <c r="B19" i="7"/>
  <c r="B43" i="8" s="1"/>
  <c r="B15" i="7"/>
  <c r="C39" i="8"/>
  <c r="E48" i="8"/>
  <c r="J12" i="45"/>
  <c r="H80" i="42"/>
  <c r="M78" i="42"/>
  <c r="P78" i="42" s="1"/>
  <c r="H78" i="42"/>
  <c r="H33" i="42"/>
  <c r="J42" i="42"/>
  <c r="H42" i="42"/>
  <c r="J35" i="42"/>
  <c r="J17" i="42"/>
  <c r="H28" i="42"/>
  <c r="J28" i="42"/>
  <c r="J84" i="42"/>
  <c r="J71" i="42"/>
  <c r="J61" i="42"/>
  <c r="H61" i="42"/>
  <c r="J52" i="42"/>
  <c r="J34" i="42"/>
  <c r="H16" i="42"/>
  <c r="H64" i="42"/>
  <c r="J37" i="42"/>
  <c r="I18" i="43"/>
  <c r="G24" i="43"/>
  <c r="J83" i="42"/>
  <c r="J60" i="42"/>
  <c r="J59" i="42"/>
  <c r="H72" i="42"/>
  <c r="I19" i="43"/>
  <c r="O16" i="10"/>
  <c r="M18" i="10"/>
  <c r="O18" i="10"/>
  <c r="J68" i="42"/>
  <c r="J58" i="42"/>
  <c r="M75" i="42"/>
  <c r="H75" i="42"/>
  <c r="O17" i="10"/>
  <c r="O23" i="10"/>
  <c r="O19" i="10"/>
  <c r="O24" i="10"/>
  <c r="H86" i="42"/>
  <c r="M25" i="10"/>
  <c r="O25" i="10"/>
  <c r="F76" i="21"/>
  <c r="F74" i="21"/>
  <c r="H30" i="42"/>
  <c r="I17" i="43"/>
  <c r="M46" i="42"/>
  <c r="P46" i="42" s="1"/>
  <c r="H46" i="42"/>
  <c r="D27" i="48"/>
  <c r="F28" i="3" s="1"/>
  <c r="H76" i="42"/>
  <c r="O20" i="10"/>
  <c r="O22" i="10"/>
  <c r="M22" i="10"/>
  <c r="H85" i="42"/>
  <c r="H24" i="43"/>
  <c r="Q70" i="7"/>
  <c r="D46" i="14" l="1"/>
  <c r="D78" i="14"/>
  <c r="D33" i="14"/>
  <c r="M15" i="10"/>
  <c r="O15" i="10"/>
  <c r="A62" i="6"/>
  <c r="A63" i="6" s="1"/>
  <c r="A64" i="6" s="1"/>
  <c r="A65" i="6" s="1"/>
  <c r="A66" i="6" s="1"/>
  <c r="A67" i="6" s="1"/>
  <c r="A68" i="6" s="1"/>
  <c r="A69" i="6" s="1"/>
  <c r="A70" i="6" s="1"/>
  <c r="A71" i="6" s="1"/>
  <c r="A72" i="6" s="1"/>
  <c r="T17" i="45"/>
  <c r="U17" i="45" s="1"/>
  <c r="A53" i="17"/>
  <c r="A54" i="17" s="1"/>
  <c r="A55" i="17" s="1"/>
  <c r="A56" i="17" s="1"/>
  <c r="A57" i="17" s="1"/>
  <c r="A58" i="17" s="1"/>
  <c r="A59" i="17" s="1"/>
  <c r="A60" i="17" s="1"/>
  <c r="A61" i="17" s="1"/>
  <c r="A62" i="17" s="1"/>
  <c r="A63" i="17" s="1"/>
  <c r="L45" i="10"/>
  <c r="N45" i="10"/>
  <c r="T14" i="45"/>
  <c r="F14" i="16" s="1"/>
  <c r="T13" i="45"/>
  <c r="F13" i="16" s="1"/>
  <c r="T16" i="45"/>
  <c r="F16" i="16" s="1"/>
  <c r="T15" i="45"/>
  <c r="F15" i="16" s="1"/>
  <c r="T12" i="45"/>
  <c r="U12" i="45" s="1"/>
  <c r="G23" i="45"/>
  <c r="M23" i="42"/>
  <c r="N23" i="42" s="1"/>
  <c r="K66" i="42"/>
  <c r="M79" i="42"/>
  <c r="K12" i="42"/>
  <c r="M47" i="42"/>
  <c r="N47" i="42" s="1"/>
  <c r="K54" i="42"/>
  <c r="N53" i="42"/>
  <c r="N26" i="42"/>
  <c r="N65" i="42"/>
  <c r="N77" i="42"/>
  <c r="P66" i="42"/>
  <c r="D66" i="14" s="1"/>
  <c r="N54" i="42"/>
  <c r="N72" i="42"/>
  <c r="P30" i="42"/>
  <c r="N38" i="42"/>
  <c r="N36" i="42"/>
  <c r="P74" i="42"/>
  <c r="D74" i="14" s="1"/>
  <c r="N81" i="42"/>
  <c r="N76" i="42"/>
  <c r="N63" i="42"/>
  <c r="N55" i="42"/>
  <c r="N13" i="42"/>
  <c r="P44" i="42"/>
  <c r="D44" i="14" s="1"/>
  <c r="N70" i="42"/>
  <c r="N73" i="42"/>
  <c r="N40" i="42"/>
  <c r="P12" i="42"/>
  <c r="Q12" i="42" s="1"/>
  <c r="K63" i="42"/>
  <c r="K36" i="42"/>
  <c r="M41" i="42"/>
  <c r="K79" i="42"/>
  <c r="N66" i="42"/>
  <c r="K47" i="42"/>
  <c r="M14" i="42"/>
  <c r="K26" i="42"/>
  <c r="T21" i="45"/>
  <c r="N12" i="42"/>
  <c r="M25" i="42"/>
  <c r="P77" i="42"/>
  <c r="Q77" i="42" s="1"/>
  <c r="M69" i="42"/>
  <c r="N44" i="42"/>
  <c r="M39" i="42"/>
  <c r="N30" i="42"/>
  <c r="P76" i="42"/>
  <c r="Z76" i="42" s="1"/>
  <c r="AA76" i="42" s="1"/>
  <c r="P73" i="42"/>
  <c r="D73" i="14" s="1"/>
  <c r="P38" i="42"/>
  <c r="D38" i="14" s="1"/>
  <c r="K80" i="42"/>
  <c r="M67" i="42"/>
  <c r="P81" i="42"/>
  <c r="P45" i="42"/>
  <c r="D45" i="14" s="1"/>
  <c r="K55" i="42"/>
  <c r="P55" i="42"/>
  <c r="D55" i="14" s="1"/>
  <c r="P70" i="42"/>
  <c r="D70" i="14" s="1"/>
  <c r="M43" i="42"/>
  <c r="M85" i="42"/>
  <c r="P13" i="42"/>
  <c r="D13" i="14" s="1"/>
  <c r="P63" i="42"/>
  <c r="M64" i="42"/>
  <c r="K64" i="42"/>
  <c r="K24" i="42"/>
  <c r="K16" i="42"/>
  <c r="P40" i="42"/>
  <c r="D40" i="14" s="1"/>
  <c r="F17" i="4"/>
  <c r="F19" i="4" s="1"/>
  <c r="F25" i="4" s="1"/>
  <c r="P26" i="42"/>
  <c r="D26" i="14" s="1"/>
  <c r="P53" i="42"/>
  <c r="D53" i="14" s="1"/>
  <c r="A23" i="48"/>
  <c r="A24" i="48" s="1"/>
  <c r="A25" i="48" s="1"/>
  <c r="A26" i="48" s="1"/>
  <c r="A27" i="48" s="1"/>
  <c r="P75" i="42"/>
  <c r="D75" i="14" s="1"/>
  <c r="K40" i="42"/>
  <c r="P54" i="42"/>
  <c r="D54" i="14" s="1"/>
  <c r="K65" i="42"/>
  <c r="P65" i="42"/>
  <c r="D65" i="14" s="1"/>
  <c r="K51" i="42"/>
  <c r="F35" i="4"/>
  <c r="K62" i="42"/>
  <c r="K72" i="42"/>
  <c r="P72" i="42"/>
  <c r="D72" i="14" s="1"/>
  <c r="P36" i="42"/>
  <c r="D36" i="14" s="1"/>
  <c r="A18" i="30"/>
  <c r="A19" i="30" s="1"/>
  <c r="A20" i="30" s="1"/>
  <c r="A21" i="30" s="1"/>
  <c r="K67" i="42"/>
  <c r="M62" i="42"/>
  <c r="M16" i="42"/>
  <c r="M57" i="42"/>
  <c r="K70" i="42"/>
  <c r="M82" i="42"/>
  <c r="K38" i="42"/>
  <c r="K82" i="42"/>
  <c r="K86" i="42"/>
  <c r="M86" i="42"/>
  <c r="K53" i="42"/>
  <c r="N45" i="42"/>
  <c r="M80" i="42"/>
  <c r="P80" i="42" s="1"/>
  <c r="K57" i="42"/>
  <c r="O42" i="10"/>
  <c r="A18" i="5"/>
  <c r="A19" i="5" s="1"/>
  <c r="A20" i="5" s="1"/>
  <c r="A21" i="5" s="1"/>
  <c r="A22" i="5" s="1"/>
  <c r="A23" i="5" s="1"/>
  <c r="A24" i="5" s="1"/>
  <c r="A25" i="5" s="1"/>
  <c r="A26" i="5" s="1"/>
  <c r="A27" i="5" s="1"/>
  <c r="A66" i="2"/>
  <c r="A67" i="2" s="1"/>
  <c r="A68" i="2" s="1"/>
  <c r="A69" i="2" s="1"/>
  <c r="A70" i="2" s="1"/>
  <c r="F71" i="3"/>
  <c r="M24" i="42"/>
  <c r="M49" i="42"/>
  <c r="P49" i="42" s="1"/>
  <c r="K49" i="42"/>
  <c r="K18" i="42"/>
  <c r="M18" i="42"/>
  <c r="M51" i="42"/>
  <c r="E89" i="14"/>
  <c r="J29" i="42"/>
  <c r="T20" i="45"/>
  <c r="M50" i="42"/>
  <c r="K50" i="42"/>
  <c r="N74" i="42"/>
  <c r="C52" i="8"/>
  <c r="V23" i="45"/>
  <c r="I24" i="43"/>
  <c r="M15" i="42"/>
  <c r="K15" i="42"/>
  <c r="M27" i="42"/>
  <c r="K27" i="42"/>
  <c r="N33" i="42"/>
  <c r="N46" i="42"/>
  <c r="N75" i="42"/>
  <c r="N78" i="42"/>
  <c r="E24" i="5"/>
  <c r="D19" i="31" s="1"/>
  <c r="D52" i="8"/>
  <c r="E21" i="9"/>
  <c r="F15" i="9" s="1"/>
  <c r="M34" i="42"/>
  <c r="K34" i="42"/>
  <c r="K35" i="42"/>
  <c r="M35" i="42"/>
  <c r="M61" i="42"/>
  <c r="K61" i="42"/>
  <c r="M17" i="42"/>
  <c r="K17" i="42"/>
  <c r="M68" i="42"/>
  <c r="K68" i="42"/>
  <c r="H88" i="42"/>
  <c r="M60" i="42"/>
  <c r="K60" i="42"/>
  <c r="M71" i="42"/>
  <c r="K71" i="42"/>
  <c r="M83" i="42"/>
  <c r="K83" i="42"/>
  <c r="K37" i="42"/>
  <c r="M37" i="42"/>
  <c r="K59" i="42"/>
  <c r="M59" i="42"/>
  <c r="M52" i="42"/>
  <c r="K52" i="42"/>
  <c r="M84" i="42"/>
  <c r="K84" i="42"/>
  <c r="M28" i="42"/>
  <c r="K28" i="42"/>
  <c r="K42" i="42"/>
  <c r="M42" i="42"/>
  <c r="B39" i="8"/>
  <c r="E28" i="7"/>
  <c r="B18" i="7"/>
  <c r="B42" i="8" s="1"/>
  <c r="E42" i="8"/>
  <c r="E52" i="8" s="1"/>
  <c r="G18" i="7"/>
  <c r="G42" i="8" s="1"/>
  <c r="G89" i="14"/>
  <c r="F70" i="3" s="1"/>
  <c r="W88" i="42"/>
  <c r="G91" i="14" s="1"/>
  <c r="K58" i="42"/>
  <c r="M58" i="42"/>
  <c r="E38" i="32"/>
  <c r="D28" i="7"/>
  <c r="F15" i="19"/>
  <c r="E12" i="5" s="1"/>
  <c r="O36" i="10"/>
  <c r="J23" i="45"/>
  <c r="D80" i="14" l="1"/>
  <c r="Z63" i="42"/>
  <c r="AA63" i="42" s="1"/>
  <c r="D63" i="14"/>
  <c r="Z81" i="42"/>
  <c r="AA81" i="42" s="1"/>
  <c r="D81" i="14"/>
  <c r="D49" i="14"/>
  <c r="D77" i="14"/>
  <c r="Z30" i="42"/>
  <c r="AA30" i="42" s="1"/>
  <c r="D30" i="14"/>
  <c r="P79" i="42"/>
  <c r="Q79" i="42" s="1"/>
  <c r="D76" i="14"/>
  <c r="U16" i="45"/>
  <c r="P23" i="42"/>
  <c r="D23" i="14" s="1"/>
  <c r="U20" i="45"/>
  <c r="U14" i="45"/>
  <c r="S23" i="45"/>
  <c r="U77" i="42"/>
  <c r="F77" i="14" s="1"/>
  <c r="U12" i="42"/>
  <c r="F12" i="14" s="1"/>
  <c r="N79" i="42"/>
  <c r="P47" i="42"/>
  <c r="D47" i="14" s="1"/>
  <c r="Q30" i="42"/>
  <c r="U30" i="42" s="1"/>
  <c r="F30" i="14" s="1"/>
  <c r="D12" i="14"/>
  <c r="U15" i="45"/>
  <c r="Z66" i="42"/>
  <c r="AA66" i="42" s="1"/>
  <c r="Q66" i="42"/>
  <c r="Z44" i="42"/>
  <c r="AA44" i="42" s="1"/>
  <c r="Q44" i="42"/>
  <c r="P37" i="42"/>
  <c r="D37" i="14" s="1"/>
  <c r="N60" i="42"/>
  <c r="P35" i="42"/>
  <c r="D35" i="14" s="1"/>
  <c r="P51" i="42"/>
  <c r="D51" i="14" s="1"/>
  <c r="N18" i="42"/>
  <c r="N16" i="42"/>
  <c r="N43" i="42"/>
  <c r="N67" i="42"/>
  <c r="N39" i="42"/>
  <c r="P62" i="42"/>
  <c r="D62" i="14" s="1"/>
  <c r="N83" i="42"/>
  <c r="N68" i="42"/>
  <c r="N69" i="42"/>
  <c r="N41" i="42"/>
  <c r="N58" i="42"/>
  <c r="P52" i="42"/>
  <c r="D52" i="14" s="1"/>
  <c r="P27" i="42"/>
  <c r="D27" i="14" s="1"/>
  <c r="P50" i="42"/>
  <c r="D50" i="14" s="1"/>
  <c r="N86" i="42"/>
  <c r="P42" i="42"/>
  <c r="D42" i="14" s="1"/>
  <c r="P59" i="42"/>
  <c r="D59" i="14" s="1"/>
  <c r="N17" i="42"/>
  <c r="N24" i="42"/>
  <c r="P64" i="42"/>
  <c r="D64" i="14" s="1"/>
  <c r="Z12" i="42"/>
  <c r="AA12" i="42" s="1"/>
  <c r="N71" i="42"/>
  <c r="P15" i="42"/>
  <c r="D15" i="14" s="1"/>
  <c r="N82" i="42"/>
  <c r="N14" i="42"/>
  <c r="P28" i="42"/>
  <c r="D28" i="14" s="1"/>
  <c r="N85" i="42"/>
  <c r="N25" i="42"/>
  <c r="M29" i="42"/>
  <c r="N29" i="42" s="1"/>
  <c r="P41" i="42"/>
  <c r="D41" i="14" s="1"/>
  <c r="Q81" i="42"/>
  <c r="U81" i="42" s="1"/>
  <c r="F81" i="14" s="1"/>
  <c r="Z65" i="42"/>
  <c r="AA65" i="42" s="1"/>
  <c r="F17" i="16"/>
  <c r="P14" i="42"/>
  <c r="D14" i="14" s="1"/>
  <c r="Q63" i="42"/>
  <c r="U13" i="45"/>
  <c r="Q38" i="42"/>
  <c r="Q65" i="42"/>
  <c r="P69" i="42"/>
  <c r="D69" i="14" s="1"/>
  <c r="Z54" i="42"/>
  <c r="AA54" i="42" s="1"/>
  <c r="P39" i="42"/>
  <c r="D39" i="14" s="1"/>
  <c r="P25" i="42"/>
  <c r="Z25" i="42" s="1"/>
  <c r="AA25" i="42" s="1"/>
  <c r="Z75" i="42"/>
  <c r="AA75" i="42" s="1"/>
  <c r="Q76" i="42"/>
  <c r="Q13" i="42"/>
  <c r="U13" i="42" s="1"/>
  <c r="F13" i="14" s="1"/>
  <c r="F12" i="18"/>
  <c r="F13" i="18" s="1"/>
  <c r="F78" i="3" s="1"/>
  <c r="F79" i="3" s="1"/>
  <c r="F55" i="2" s="1"/>
  <c r="F50" i="3"/>
  <c r="Q73" i="42"/>
  <c r="U73" i="42" s="1"/>
  <c r="F73" i="14" s="1"/>
  <c r="Z73" i="42"/>
  <c r="AA73" i="42" s="1"/>
  <c r="P43" i="42"/>
  <c r="D43" i="14" s="1"/>
  <c r="U21" i="45"/>
  <c r="P67" i="42"/>
  <c r="D67" i="14" s="1"/>
  <c r="Z77" i="42"/>
  <c r="AA77" i="42" s="1"/>
  <c r="P71" i="42"/>
  <c r="Z71" i="42" s="1"/>
  <c r="AA71" i="42" s="1"/>
  <c r="P24" i="42"/>
  <c r="D24" i="14" s="1"/>
  <c r="P34" i="42"/>
  <c r="D34" i="14" s="1"/>
  <c r="Q75" i="42"/>
  <c r="U75" i="42" s="1"/>
  <c r="F75" i="14" s="1"/>
  <c r="Q72" i="42"/>
  <c r="U72" i="42" s="1"/>
  <c r="F72" i="14" s="1"/>
  <c r="P83" i="42"/>
  <c r="D83" i="14" s="1"/>
  <c r="P85" i="42"/>
  <c r="D85" i="14" s="1"/>
  <c r="Q45" i="42"/>
  <c r="P61" i="42"/>
  <c r="D61" i="14" s="1"/>
  <c r="Z45" i="42"/>
  <c r="AA45" i="42" s="1"/>
  <c r="Z13" i="42"/>
  <c r="AA13" i="42" s="1"/>
  <c r="P57" i="42"/>
  <c r="D57" i="14" s="1"/>
  <c r="P60" i="42"/>
  <c r="D60" i="14" s="1"/>
  <c r="N62" i="42"/>
  <c r="P68" i="42"/>
  <c r="D68" i="14" s="1"/>
  <c r="O45" i="10"/>
  <c r="H15" i="9" s="1"/>
  <c r="I15" i="9" s="1"/>
  <c r="N80" i="42"/>
  <c r="P58" i="42"/>
  <c r="D58" i="14" s="1"/>
  <c r="P18" i="42"/>
  <c r="D18" i="14" s="1"/>
  <c r="P82" i="42"/>
  <c r="D82" i="14" s="1"/>
  <c r="N64" i="42"/>
  <c r="F72" i="3"/>
  <c r="E37" i="1" s="1"/>
  <c r="P84" i="42"/>
  <c r="D84" i="14" s="1"/>
  <c r="P17" i="42"/>
  <c r="D17" i="14" s="1"/>
  <c r="P16" i="42"/>
  <c r="Z16" i="42" s="1"/>
  <c r="AA16" i="42" s="1"/>
  <c r="N51" i="42"/>
  <c r="P86" i="42"/>
  <c r="D86" i="14" s="1"/>
  <c r="T23" i="45"/>
  <c r="P23" i="45"/>
  <c r="F34" i="4"/>
  <c r="F36" i="4" s="1"/>
  <c r="F43" i="4" s="1"/>
  <c r="F45" i="4" s="1"/>
  <c r="F16" i="2" s="1"/>
  <c r="F17" i="2" s="1"/>
  <c r="E22" i="1" s="1"/>
  <c r="Z20" i="42"/>
  <c r="AA20" i="42" s="1"/>
  <c r="Q20" i="42"/>
  <c r="Q54" i="42"/>
  <c r="N57" i="42"/>
  <c r="Z26" i="42"/>
  <c r="AA26" i="42" s="1"/>
  <c r="Q26" i="42"/>
  <c r="U26" i="42" s="1"/>
  <c r="F26" i="14" s="1"/>
  <c r="Q53" i="42"/>
  <c r="Z53" i="42"/>
  <c r="AA53" i="42" s="1"/>
  <c r="N37" i="42"/>
  <c r="Z38" i="42"/>
  <c r="AA38" i="42" s="1"/>
  <c r="K29" i="42"/>
  <c r="A71" i="2"/>
  <c r="A72" i="2" s="1"/>
  <c r="A73" i="2" s="1"/>
  <c r="A74" i="2" s="1"/>
  <c r="A75" i="2" s="1"/>
  <c r="A76" i="2" s="1"/>
  <c r="A77" i="2" s="1"/>
  <c r="A78" i="2" s="1"/>
  <c r="A79" i="2" s="1"/>
  <c r="A80" i="2" s="1"/>
  <c r="A81" i="2" s="1"/>
  <c r="A82" i="2" s="1"/>
  <c r="N49" i="42"/>
  <c r="E92" i="14"/>
  <c r="E93" i="14" s="1"/>
  <c r="E10" i="1"/>
  <c r="F11" i="4" s="1"/>
  <c r="F13" i="4" s="1"/>
  <c r="F24" i="4" s="1"/>
  <c r="F26" i="4" s="1"/>
  <c r="F29" i="4" s="1"/>
  <c r="F12" i="16"/>
  <c r="N50" i="42"/>
  <c r="N61" i="42"/>
  <c r="Z72" i="42"/>
  <c r="AA72" i="42" s="1"/>
  <c r="N27" i="42"/>
  <c r="N15" i="42"/>
  <c r="Z74" i="42"/>
  <c r="AA74" i="42" s="1"/>
  <c r="Q74" i="42"/>
  <c r="Z70" i="42"/>
  <c r="AA70" i="42" s="1"/>
  <c r="Q70" i="42"/>
  <c r="U70" i="42" s="1"/>
  <c r="F70" i="14" s="1"/>
  <c r="Q36" i="42"/>
  <c r="U36" i="42" s="1"/>
  <c r="F36" i="14" s="1"/>
  <c r="Z36" i="42"/>
  <c r="AA36" i="42" s="1"/>
  <c r="B28" i="7"/>
  <c r="B52" i="8"/>
  <c r="Q78" i="42"/>
  <c r="Z78" i="42"/>
  <c r="AA78" i="42" s="1"/>
  <c r="C44" i="32"/>
  <c r="E45" i="32"/>
  <c r="Q33" i="42"/>
  <c r="Z33" i="42"/>
  <c r="AA33" i="42" s="1"/>
  <c r="Q46" i="42"/>
  <c r="U46" i="42" s="1"/>
  <c r="F46" i="14" s="1"/>
  <c r="Z46" i="42"/>
  <c r="AA46" i="42" s="1"/>
  <c r="N35" i="42"/>
  <c r="N42" i="42"/>
  <c r="N59" i="42"/>
  <c r="Q55" i="42"/>
  <c r="Z55" i="42"/>
  <c r="AA55" i="42" s="1"/>
  <c r="N28" i="42"/>
  <c r="N52" i="42"/>
  <c r="N84" i="42"/>
  <c r="Z40" i="42"/>
  <c r="AA40" i="42" s="1"/>
  <c r="Q40" i="42"/>
  <c r="U40" i="42" s="1"/>
  <c r="F40" i="14" s="1"/>
  <c r="G92" i="14"/>
  <c r="G93" i="14" s="1"/>
  <c r="F17" i="9"/>
  <c r="I17" i="9" s="1"/>
  <c r="F19" i="9"/>
  <c r="I19" i="9" s="1"/>
  <c r="G28" i="7"/>
  <c r="E39" i="32"/>
  <c r="N34" i="42"/>
  <c r="Z79" i="42" l="1"/>
  <c r="AA79" i="42" s="1"/>
  <c r="D79" i="14"/>
  <c r="D71" i="14"/>
  <c r="D16" i="14"/>
  <c r="D25" i="14"/>
  <c r="Q23" i="42"/>
  <c r="U23" i="42" s="1"/>
  <c r="Z23" i="42"/>
  <c r="AA23" i="42" s="1"/>
  <c r="U79" i="42"/>
  <c r="F79" i="14" s="1"/>
  <c r="U44" i="42"/>
  <c r="F44" i="14" s="1"/>
  <c r="U45" i="42"/>
  <c r="F45" i="14" s="1"/>
  <c r="U74" i="42"/>
  <c r="F74" i="14" s="1"/>
  <c r="U53" i="42"/>
  <c r="F53" i="14" s="1"/>
  <c r="U33" i="42"/>
  <c r="F33" i="14" s="1"/>
  <c r="U66" i="42"/>
  <c r="F66" i="14" s="1"/>
  <c r="K88" i="42"/>
  <c r="U65" i="42"/>
  <c r="F65" i="14" s="1"/>
  <c r="U20" i="42"/>
  <c r="F20" i="14" s="1"/>
  <c r="U38" i="42"/>
  <c r="F38" i="14" s="1"/>
  <c r="U76" i="42"/>
  <c r="F76" i="14" s="1"/>
  <c r="U63" i="42"/>
  <c r="F63" i="14" s="1"/>
  <c r="U54" i="42"/>
  <c r="F54" i="14" s="1"/>
  <c r="U55" i="42"/>
  <c r="F55" i="14" s="1"/>
  <c r="U78" i="42"/>
  <c r="F78" i="14" s="1"/>
  <c r="Q47" i="42"/>
  <c r="Z47" i="42"/>
  <c r="AA47" i="42" s="1"/>
  <c r="V77" i="42"/>
  <c r="Q62" i="42"/>
  <c r="U62" i="42" s="1"/>
  <c r="F62" i="14" s="1"/>
  <c r="P29" i="42"/>
  <c r="D29" i="14" s="1"/>
  <c r="Z80" i="42"/>
  <c r="AA80" i="42" s="1"/>
  <c r="Q52" i="42"/>
  <c r="Q41" i="42"/>
  <c r="U41" i="42" s="1"/>
  <c r="F41" i="14" s="1"/>
  <c r="Q64" i="42"/>
  <c r="Q35" i="42"/>
  <c r="U35" i="42" s="1"/>
  <c r="F35" i="14" s="1"/>
  <c r="Z41" i="42"/>
  <c r="AA41" i="42" s="1"/>
  <c r="Z35" i="42"/>
  <c r="AA35" i="42" s="1"/>
  <c r="Z64" i="42"/>
  <c r="AA64" i="42" s="1"/>
  <c r="Z14" i="42"/>
  <c r="AA14" i="42" s="1"/>
  <c r="Q14" i="42"/>
  <c r="U14" i="42" s="1"/>
  <c r="F14" i="14" s="1"/>
  <c r="V81" i="42"/>
  <c r="U23" i="45"/>
  <c r="Q69" i="42"/>
  <c r="U69" i="42" s="1"/>
  <c r="F69" i="14" s="1"/>
  <c r="Z69" i="42"/>
  <c r="AA69" i="42" s="1"/>
  <c r="Z39" i="42"/>
  <c r="AA39" i="42" s="1"/>
  <c r="Q39" i="42"/>
  <c r="V13" i="42"/>
  <c r="V12" i="42"/>
  <c r="V30" i="42"/>
  <c r="V72" i="42"/>
  <c r="Q25" i="42"/>
  <c r="U25" i="42" s="1"/>
  <c r="F25" i="14" s="1"/>
  <c r="Z57" i="42"/>
  <c r="AA57" i="42" s="1"/>
  <c r="Z24" i="42"/>
  <c r="AA24" i="42" s="1"/>
  <c r="Q57" i="42"/>
  <c r="U57" i="42" s="1"/>
  <c r="F57" i="14" s="1"/>
  <c r="E41" i="1"/>
  <c r="V73" i="42"/>
  <c r="Z34" i="42"/>
  <c r="AA34" i="42" s="1"/>
  <c r="Q34" i="42"/>
  <c r="Q18" i="42"/>
  <c r="U18" i="42" s="1"/>
  <c r="F18" i="14" s="1"/>
  <c r="Z43" i="42"/>
  <c r="AA43" i="42" s="1"/>
  <c r="Q43" i="42"/>
  <c r="U43" i="42" s="1"/>
  <c r="F43" i="14" s="1"/>
  <c r="Z67" i="42"/>
  <c r="AA67" i="42" s="1"/>
  <c r="Q67" i="42"/>
  <c r="U67" i="42" s="1"/>
  <c r="F67" i="14" s="1"/>
  <c r="V75" i="42"/>
  <c r="E19" i="1"/>
  <c r="Q16" i="42"/>
  <c r="U16" i="42" s="1"/>
  <c r="F16" i="14" s="1"/>
  <c r="Q85" i="42"/>
  <c r="U85" i="42" s="1"/>
  <c r="F85" i="14" s="1"/>
  <c r="Z85" i="42"/>
  <c r="AA85" i="42" s="1"/>
  <c r="A22" i="30"/>
  <c r="Q80" i="42"/>
  <c r="U80" i="42" s="1"/>
  <c r="F80" i="14" s="1"/>
  <c r="Z62" i="42"/>
  <c r="AA62" i="42" s="1"/>
  <c r="Q86" i="42"/>
  <c r="Z86" i="42"/>
  <c r="AA86" i="42" s="1"/>
  <c r="Q71" i="42"/>
  <c r="Q24" i="42"/>
  <c r="Q82" i="42"/>
  <c r="U82" i="42" s="1"/>
  <c r="F82" i="14" s="1"/>
  <c r="Z82" i="42"/>
  <c r="AA82" i="42" s="1"/>
  <c r="V26" i="42"/>
  <c r="Z18" i="42"/>
  <c r="AA18" i="42" s="1"/>
  <c r="Z49" i="42"/>
  <c r="AA49" i="42" s="1"/>
  <c r="Q49" i="42"/>
  <c r="F49" i="3"/>
  <c r="Z52" i="42"/>
  <c r="AA52" i="42" s="1"/>
  <c r="Z51" i="42"/>
  <c r="AA51" i="42" s="1"/>
  <c r="Q51" i="42"/>
  <c r="U51" i="42" s="1"/>
  <c r="F51" i="14" s="1"/>
  <c r="I21" i="9"/>
  <c r="I24" i="9" s="1"/>
  <c r="F28" i="40" s="1"/>
  <c r="Z27" i="42"/>
  <c r="AA27" i="42" s="1"/>
  <c r="Q27" i="42"/>
  <c r="Q15" i="42"/>
  <c r="U15" i="42" s="1"/>
  <c r="F15" i="14" s="1"/>
  <c r="Z15" i="42"/>
  <c r="AA15" i="42" s="1"/>
  <c r="Z50" i="42"/>
  <c r="AA50" i="42" s="1"/>
  <c r="Q50" i="42"/>
  <c r="U50" i="42" s="1"/>
  <c r="F50" i="14" s="1"/>
  <c r="V70" i="42"/>
  <c r="Q61" i="42"/>
  <c r="Z61" i="42"/>
  <c r="AA61" i="42" s="1"/>
  <c r="V36" i="42"/>
  <c r="Q37" i="42"/>
  <c r="U37" i="42" s="1"/>
  <c r="F37" i="14" s="1"/>
  <c r="Z37" i="42"/>
  <c r="AA37" i="42" s="1"/>
  <c r="Q28" i="42"/>
  <c r="Z28" i="42"/>
  <c r="AA28" i="42" s="1"/>
  <c r="D44" i="32"/>
  <c r="D45" i="32"/>
  <c r="Q60" i="42"/>
  <c r="Z60" i="42"/>
  <c r="AA60" i="42" s="1"/>
  <c r="V40" i="42"/>
  <c r="Q83" i="42"/>
  <c r="Z83" i="42"/>
  <c r="AA83" i="42" s="1"/>
  <c r="Q84" i="42"/>
  <c r="Z84" i="42"/>
  <c r="AA84" i="42" s="1"/>
  <c r="F52" i="40"/>
  <c r="E55" i="1"/>
  <c r="F43" i="40"/>
  <c r="G52" i="8"/>
  <c r="V46" i="42"/>
  <c r="F20" i="40"/>
  <c r="F21" i="40" s="1"/>
  <c r="F25" i="40" s="1"/>
  <c r="F669" i="47"/>
  <c r="G669" i="47" s="1"/>
  <c r="G670" i="47" s="1"/>
  <c r="F14" i="19" s="1"/>
  <c r="F28" i="2"/>
  <c r="F29" i="2" s="1"/>
  <c r="E20" i="1" s="1"/>
  <c r="F77" i="2"/>
  <c r="F78" i="2" s="1"/>
  <c r="F56" i="3"/>
  <c r="F57" i="3" s="1"/>
  <c r="F40" i="2"/>
  <c r="F41" i="2" s="1"/>
  <c r="E21" i="1" s="1"/>
  <c r="F64" i="2"/>
  <c r="F65" i="2" s="1"/>
  <c r="E24" i="1" s="1"/>
  <c r="F34" i="3"/>
  <c r="F35" i="3" s="1"/>
  <c r="E38" i="1" s="1"/>
  <c r="F64" i="3"/>
  <c r="F65" i="3" s="1"/>
  <c r="E39" i="1" s="1"/>
  <c r="F70" i="2"/>
  <c r="F71" i="2" s="1"/>
  <c r="E16" i="1" s="1"/>
  <c r="F15" i="3"/>
  <c r="F16" i="3" s="1"/>
  <c r="F52" i="3"/>
  <c r="F53" i="3" s="1"/>
  <c r="F34" i="2"/>
  <c r="F35" i="2" s="1"/>
  <c r="F22" i="2"/>
  <c r="F23" i="2" s="1"/>
  <c r="Q17" i="42"/>
  <c r="U17" i="42" s="1"/>
  <c r="F17" i="14" s="1"/>
  <c r="Z17" i="42"/>
  <c r="AA17" i="42" s="1"/>
  <c r="Q42" i="42"/>
  <c r="Z42" i="42"/>
  <c r="AA42" i="42" s="1"/>
  <c r="Q68" i="42"/>
  <c r="U68" i="42" s="1"/>
  <c r="F68" i="14" s="1"/>
  <c r="Z68" i="42"/>
  <c r="AA68" i="42" s="1"/>
  <c r="F21" i="9"/>
  <c r="N88" i="42"/>
  <c r="Q59" i="42"/>
  <c r="Z59" i="42"/>
  <c r="AA59" i="42" s="1"/>
  <c r="Q58" i="42"/>
  <c r="Z58" i="42"/>
  <c r="AA58" i="42" s="1"/>
  <c r="V23" i="42" l="1"/>
  <c r="F23" i="14"/>
  <c r="V33" i="42"/>
  <c r="V38" i="42"/>
  <c r="V44" i="42"/>
  <c r="V66" i="42"/>
  <c r="V20" i="42"/>
  <c r="V54" i="42"/>
  <c r="V53" i="42"/>
  <c r="V65" i="42"/>
  <c r="V63" i="42"/>
  <c r="V45" i="42"/>
  <c r="V79" i="42"/>
  <c r="V78" i="42"/>
  <c r="V74" i="42"/>
  <c r="V76" i="42"/>
  <c r="U47" i="42"/>
  <c r="F47" i="14" s="1"/>
  <c r="U34" i="42"/>
  <c r="F34" i="14" s="1"/>
  <c r="V55" i="42"/>
  <c r="U42" i="42"/>
  <c r="F42" i="14" s="1"/>
  <c r="U39" i="42"/>
  <c r="F39" i="14" s="1"/>
  <c r="U83" i="42"/>
  <c r="F83" i="14" s="1"/>
  <c r="U24" i="42"/>
  <c r="F24" i="14" s="1"/>
  <c r="U27" i="42"/>
  <c r="F27" i="14" s="1"/>
  <c r="U86" i="42"/>
  <c r="F86" i="14" s="1"/>
  <c r="U64" i="42"/>
  <c r="U58" i="42"/>
  <c r="F58" i="14" s="1"/>
  <c r="U52" i="42"/>
  <c r="F52" i="14" s="1"/>
  <c r="U49" i="42"/>
  <c r="F49" i="14" s="1"/>
  <c r="U60" i="42"/>
  <c r="F60" i="14" s="1"/>
  <c r="U28" i="42"/>
  <c r="F28" i="14" s="1"/>
  <c r="U61" i="42"/>
  <c r="U71" i="42"/>
  <c r="F71" i="14" s="1"/>
  <c r="U59" i="42"/>
  <c r="F59" i="14" s="1"/>
  <c r="U84" i="42"/>
  <c r="F84" i="14" s="1"/>
  <c r="Z29" i="42"/>
  <c r="AA29" i="42" s="1"/>
  <c r="Q29" i="42"/>
  <c r="V41" i="42"/>
  <c r="T88" i="42"/>
  <c r="V14" i="42"/>
  <c r="V69" i="42"/>
  <c r="V62" i="42"/>
  <c r="V35" i="42"/>
  <c r="V57" i="42"/>
  <c r="V25" i="42"/>
  <c r="V18" i="42"/>
  <c r="V43" i="42"/>
  <c r="V67" i="42"/>
  <c r="V16" i="42"/>
  <c r="V85" i="42"/>
  <c r="V80" i="42"/>
  <c r="V82" i="42"/>
  <c r="V51" i="42"/>
  <c r="V37" i="42"/>
  <c r="E31" i="1"/>
  <c r="V50" i="42"/>
  <c r="V15" i="42"/>
  <c r="F59" i="3"/>
  <c r="E45" i="1" s="1"/>
  <c r="V68" i="42"/>
  <c r="H12" i="26"/>
  <c r="G18" i="33"/>
  <c r="F50" i="4"/>
  <c r="E14" i="1"/>
  <c r="F49" i="4"/>
  <c r="E13" i="1"/>
  <c r="F18" i="19"/>
  <c r="E13" i="5"/>
  <c r="E17" i="5" s="1"/>
  <c r="V64" i="42" l="1"/>
  <c r="F64" i="14"/>
  <c r="V61" i="42"/>
  <c r="F61" i="14"/>
  <c r="V60" i="42"/>
  <c r="V28" i="42"/>
  <c r="V47" i="42"/>
  <c r="V52" i="42"/>
  <c r="V58" i="42"/>
  <c r="V49" i="42"/>
  <c r="V84" i="42"/>
  <c r="V86" i="42"/>
  <c r="V83" i="42"/>
  <c r="V71" i="42"/>
  <c r="V42" i="42"/>
  <c r="V39" i="42"/>
  <c r="V24" i="42"/>
  <c r="V59" i="42"/>
  <c r="V34" i="42"/>
  <c r="V27" i="42"/>
  <c r="U29" i="42"/>
  <c r="F29" i="14" s="1"/>
  <c r="Q88" i="42"/>
  <c r="F51" i="4"/>
  <c r="F37" i="4" s="1"/>
  <c r="F39" i="4" s="1"/>
  <c r="V17" i="42"/>
  <c r="B19" i="31"/>
  <c r="E27" i="5"/>
  <c r="F36" i="19"/>
  <c r="F34" i="19"/>
  <c r="F89" i="14" l="1"/>
  <c r="E18" i="1" s="1"/>
  <c r="V29" i="42"/>
  <c r="V88" i="42" s="1"/>
  <c r="U88" i="42"/>
  <c r="F91" i="14" s="1"/>
  <c r="F53" i="4"/>
  <c r="F50" i="2" s="1"/>
  <c r="F51" i="2" s="1"/>
  <c r="E23" i="1" s="1"/>
  <c r="F19" i="3"/>
  <c r="F20" i="3" s="1"/>
  <c r="F41" i="3"/>
  <c r="F42" i="3" s="1"/>
  <c r="F43" i="3" s="1"/>
  <c r="E40" i="1" s="1"/>
  <c r="E43" i="9" s="1"/>
  <c r="F23" i="3"/>
  <c r="F24" i="3" s="1"/>
  <c r="F80" i="2"/>
  <c r="F81" i="2" s="1"/>
  <c r="F82" i="2" s="1"/>
  <c r="E25" i="1" s="1"/>
  <c r="F19" i="31"/>
  <c r="C18" i="33"/>
  <c r="E51" i="1"/>
  <c r="F92" i="14" l="1"/>
  <c r="F93" i="14" s="1"/>
  <c r="I15" i="32"/>
  <c r="E12" i="26"/>
  <c r="E27" i="26"/>
  <c r="F30" i="3"/>
  <c r="F56" i="2" l="1"/>
  <c r="F57" i="2" s="1"/>
  <c r="E26" i="1" s="1"/>
  <c r="E28" i="1" s="1"/>
  <c r="E44" i="1"/>
  <c r="E48" i="1" s="1"/>
  <c r="I32" i="9" l="1"/>
  <c r="I35" i="9" s="1"/>
  <c r="I38" i="9" s="1"/>
  <c r="E32" i="1" l="1"/>
  <c r="E33" i="1" s="1"/>
  <c r="E49" i="1" s="1"/>
  <c r="F29" i="40"/>
  <c r="F30" i="40" s="1"/>
  <c r="F32" i="40" s="1"/>
  <c r="F34" i="40" s="1"/>
  <c r="A18" i="33" l="1"/>
  <c r="E18" i="33" s="1"/>
  <c r="H18" i="33" s="1"/>
  <c r="C12" i="26"/>
  <c r="C27" i="26"/>
  <c r="E53" i="1"/>
  <c r="I13" i="32"/>
  <c r="H25" i="33" l="1"/>
  <c r="H29" i="33"/>
  <c r="H28" i="33"/>
  <c r="H24" i="33"/>
  <c r="I17" i="32"/>
  <c r="F41" i="40"/>
  <c r="E40" i="32"/>
  <c r="E57" i="1"/>
  <c r="E62" i="1" l="1"/>
  <c r="C23" i="26" s="1"/>
  <c r="E63" i="1"/>
  <c r="C24" i="26" s="1"/>
  <c r="E58" i="1"/>
  <c r="C13" i="26" s="1"/>
  <c r="C19" i="26" s="1"/>
  <c r="E41" i="32"/>
  <c r="G44" i="32" s="1"/>
  <c r="E59" i="1"/>
  <c r="J12" i="26"/>
  <c r="H27" i="33"/>
  <c r="H26" i="33"/>
  <c r="E44" i="32"/>
  <c r="F50" i="40"/>
  <c r="F54" i="40" s="1"/>
  <c r="F55" i="40" s="1"/>
  <c r="F45" i="40"/>
  <c r="F46" i="40" s="1"/>
  <c r="F58" i="40" l="1"/>
  <c r="F59" i="40" s="1"/>
  <c r="E61" i="1"/>
  <c r="C16" i="26" s="1"/>
  <c r="C22" i="26" s="1"/>
  <c r="C14" i="26"/>
  <c r="C20" i="26" s="1"/>
  <c r="E60" i="1"/>
  <c r="C15" i="26" s="1"/>
  <c r="C21" i="26" s="1"/>
  <c r="C47" i="32"/>
  <c r="I19" i="32" s="1"/>
  <c r="H27" i="26" l="1"/>
  <c r="I21" i="32"/>
  <c r="J27" i="26" s="1"/>
  <c r="C28" i="26" s="1"/>
  <c r="F89" i="21"/>
  <c r="F79" i="21" s="1"/>
  <c r="E13" i="20" l="1"/>
  <c r="E15" i="20" s="1"/>
  <c r="F80" i="21"/>
  <c r="F82" i="21" l="1"/>
  <c r="F84" i="21" s="1"/>
  <c r="G74" i="21"/>
</calcChain>
</file>

<file path=xl/sharedStrings.xml><?xml version="1.0" encoding="utf-8"?>
<sst xmlns="http://schemas.openxmlformats.org/spreadsheetml/2006/main" count="5255" uniqueCount="1385">
  <si>
    <t>JR. Simplot</t>
  </si>
  <si>
    <t>Schedule 4 Workpaper page 5</t>
  </si>
  <si>
    <t>OASIS</t>
  </si>
  <si>
    <t>SCHEDULE 8 WORKPAPER</t>
  </si>
  <si>
    <t>Investment</t>
  </si>
  <si>
    <t xml:space="preserve">Accumulated Depreciation </t>
  </si>
  <si>
    <t>SCHEDULE 7 WORKPAPER</t>
  </si>
  <si>
    <t>Schedule 8 Workpaper</t>
  </si>
  <si>
    <t>030157</t>
  </si>
  <si>
    <t>070157</t>
  </si>
  <si>
    <t>Schedule 5 (C)</t>
  </si>
  <si>
    <t>(20)*((23)+(24))</t>
  </si>
  <si>
    <t>Sum (29) Thru (39)</t>
  </si>
  <si>
    <t>(45)/((47)*1000)</t>
  </si>
  <si>
    <t>(49) / 12</t>
  </si>
  <si>
    <t>(49) / 52</t>
  </si>
  <si>
    <t>(51) / 6</t>
  </si>
  <si>
    <t>(51) / 7</t>
  </si>
  <si>
    <t>(49)*1000 / 4896</t>
  </si>
  <si>
    <t>(49)*1000 / 8760</t>
  </si>
  <si>
    <t xml:space="preserve">(25) + (40)) </t>
  </si>
  <si>
    <t>Refer to Schedule 8, Workpaper for the calculation of Accumulated Depreciation and Annual Depreciation Accrual.</t>
  </si>
  <si>
    <t>To Rate Calculation</t>
  </si>
  <si>
    <t xml:space="preserve"> To Rate Calculaton</t>
  </si>
  <si>
    <t>Source = the Form 1, page 300</t>
  </si>
  <si>
    <t>SCHEDULE 5 WORKPAPER</t>
  </si>
  <si>
    <t>To Schedule 4, line 11</t>
  </si>
  <si>
    <t>Interest Expense (Network Upgrade Prepayments)</t>
  </si>
  <si>
    <t>Total Short Term Firm, Non Firm and Out of Period Adjustments:</t>
  </si>
  <si>
    <t xml:space="preserve">General Plant Depreciation </t>
  </si>
  <si>
    <t>Unamortized RTO Development Costs</t>
  </si>
  <si>
    <t>Amortization of RTO Development Costs</t>
  </si>
  <si>
    <t>SCHEDULE 9</t>
  </si>
  <si>
    <t>Location</t>
  </si>
  <si>
    <t>Plant Account</t>
  </si>
  <si>
    <t xml:space="preserve"> Year</t>
  </si>
  <si>
    <t>Year</t>
  </si>
  <si>
    <t>Schedule 9</t>
  </si>
  <si>
    <t>See Schedule 4 Workpaper, page 2</t>
  </si>
  <si>
    <t>Title Page</t>
  </si>
  <si>
    <t>List of Worksheets</t>
  </si>
  <si>
    <t>Tariff Sch 7, 8 and 9 Rates</t>
  </si>
  <si>
    <t>Property Taxes Directly Assigned to Transmission and General Plant</t>
  </si>
  <si>
    <t>Schedule 5 Workpaper</t>
  </si>
  <si>
    <t>Rate of Return and Income Tax Expense</t>
  </si>
  <si>
    <t>Schedule 6 Workpaper, Page 1</t>
  </si>
  <si>
    <t>Effective Embedded Cost of Long Term Debt</t>
  </si>
  <si>
    <t xml:space="preserve">GSU Investment and  Accumulated Depreciation Reserve </t>
  </si>
  <si>
    <t>For Firm Point-To-Point Transmission Service provided under Schedule 7:</t>
  </si>
  <si>
    <t xml:space="preserve">The Formula Rate shall be </t>
  </si>
  <si>
    <t>(</t>
  </si>
  <si>
    <t>-</t>
  </si>
  <si>
    <t>)</t>
  </si>
  <si>
    <t>/</t>
  </si>
  <si>
    <t>per kW-year</t>
  </si>
  <si>
    <t xml:space="preserve">For Monthly Service the rate shall be: </t>
  </si>
  <si>
    <t>per kW-month</t>
  </si>
  <si>
    <t xml:space="preserve">For Weekly Service the rate shall be: </t>
  </si>
  <si>
    <t>per kW-week</t>
  </si>
  <si>
    <t xml:space="preserve">For Daily Service on Monday through Saturday, the rate shall be: </t>
  </si>
  <si>
    <t>per kW-day</t>
  </si>
  <si>
    <t>For Daily Service on Sunday and WECC defined holidays, the rate shall be:</t>
  </si>
  <si>
    <t>For Non-Firm Point-To-Point Transmission Service provided under Schedule 8:</t>
  </si>
  <si>
    <t>For Monthly Service the rate shall be:</t>
  </si>
  <si>
    <t>For Weekly Service the rate shall be:</t>
  </si>
  <si>
    <t>For Daily Service on Monday through Saturday, the rate shall be:</t>
  </si>
  <si>
    <t>For Hourly Service from 0700 to 2300 Prevailing Mountain Time Monday through Saturday (excluding WECC defined holidays) the rate shall be:</t>
  </si>
  <si>
    <t>per MW-hour</t>
  </si>
  <si>
    <t>For Hourly Service provided other hours the rate shall be:</t>
  </si>
  <si>
    <t>For Network Transmission Service provided under Schedule 9:</t>
  </si>
  <si>
    <t>The Annual Formula Revenue Requirements shall be:</t>
  </si>
  <si>
    <t>Schedule 2 Workpaper, page 1</t>
  </si>
  <si>
    <t>Schedule 2 Workpaper, page 2</t>
  </si>
  <si>
    <t>Schedule 2 Workpaper, page 3</t>
  </si>
  <si>
    <t>Schedule 4 Workpaper, page 1</t>
  </si>
  <si>
    <t>Schedule 4 Workpaper, page 2</t>
  </si>
  <si>
    <t>Schedule 4 Workpaper, page 3</t>
  </si>
  <si>
    <t>Schedule 4 Workpaper, page 4</t>
  </si>
  <si>
    <t>Schedule 4 Workpaper, page 5</t>
  </si>
  <si>
    <t>Schedule 4 Workpaper, page 6</t>
  </si>
  <si>
    <t>Account 454 Rents From Electric Property By Category and Subaccount</t>
  </si>
  <si>
    <t>Functionalization of Real Estate Rents Recorded in Account 454</t>
  </si>
  <si>
    <t>Cogeneration O&amp;M Charges Recorded in Account 454</t>
  </si>
  <si>
    <t>Idaho Power Company</t>
  </si>
  <si>
    <t>Ad Valorem Tax Allocation</t>
  </si>
  <si>
    <t>Total System</t>
  </si>
  <si>
    <t>Treatment:</t>
  </si>
  <si>
    <t>Fiber Rents - Non-transmission as per settlement</t>
  </si>
  <si>
    <t>Schedule 4 Workpaper, page 7</t>
  </si>
  <si>
    <t>Transmission Related Revenues Reported in Account 456 For Which Transactions are Included in the Rate Divisor</t>
  </si>
  <si>
    <t>Non-firm and Short-term Firm Transmission Wheeling Revenues Reported in Account 456 Included as Revenue Credits</t>
  </si>
  <si>
    <t>Sched 6 Workpaper, p 1</t>
  </si>
  <si>
    <t>Idaho</t>
  </si>
  <si>
    <t>Oregon</t>
  </si>
  <si>
    <t>Other</t>
  </si>
  <si>
    <t>Composite</t>
  </si>
  <si>
    <t>State Composite Rate (Accrued)</t>
  </si>
  <si>
    <t>Composite State Income Tax Rate</t>
  </si>
  <si>
    <t>Schedule 6 Workpaper, Page 2</t>
  </si>
  <si>
    <t>Schedule 6 Workpaper, page 2</t>
  </si>
  <si>
    <t>Schedule 6 Workpaper, page 3</t>
  </si>
  <si>
    <t>Schedule 6 Workpaper, Page 3</t>
  </si>
  <si>
    <t>Equity Portion of AFUDC in Depreciation Expense</t>
  </si>
  <si>
    <t>Account</t>
  </si>
  <si>
    <t xml:space="preserve"> Amount</t>
  </si>
  <si>
    <t>x</t>
  </si>
  <si>
    <t>=</t>
  </si>
  <si>
    <t>Rate Calculation</t>
  </si>
  <si>
    <t>12 CP</t>
  </si>
  <si>
    <t>Montana</t>
  </si>
  <si>
    <t>Nevada</t>
  </si>
  <si>
    <t>Wyoming</t>
  </si>
  <si>
    <t>OATT Attach H, 3.7</t>
  </si>
  <si>
    <t>120157</t>
  </si>
  <si>
    <t xml:space="preserve">Net PTP Transmission </t>
  </si>
  <si>
    <t xml:space="preserve"> PTP * E * (Formula Rate pre 890 - Formula Rate)</t>
  </si>
  <si>
    <t>Transmission Revenue Requirement:</t>
  </si>
  <si>
    <t>Transmission Revenue Credits:</t>
  </si>
  <si>
    <t>Net PTP Transmission Revenue Requirement:</t>
  </si>
  <si>
    <t>Network Transmission Revenue Requirement:</t>
  </si>
  <si>
    <t>((32) + (33)) / (34)</t>
  </si>
  <si>
    <t>(40) / (41)</t>
  </si>
  <si>
    <t>(49) / (50)</t>
  </si>
  <si>
    <t xml:space="preserve"> TRANSMISSION COST OF SERVICE RATE DEVELOPMENT</t>
  </si>
  <si>
    <t>Reimbursement for losses on grounded shield wire</t>
  </si>
  <si>
    <t>Vintage Year</t>
  </si>
  <si>
    <t>Years in Service</t>
  </si>
  <si>
    <t>Accumulated Depreciation</t>
  </si>
  <si>
    <t>American Falls Power Plant</t>
  </si>
  <si>
    <t>Bliss Power Plant Gooding</t>
  </si>
  <si>
    <t>Cascade Power Plant</t>
  </si>
  <si>
    <t>Clear Lake Power Plant</t>
  </si>
  <si>
    <t>Danskin Power Plant</t>
  </si>
  <si>
    <t>Lower Malad Power Plant</t>
  </si>
  <si>
    <t>Lower Salmon Power Plant Goodi</t>
  </si>
  <si>
    <t>Milner Power Plant</t>
  </si>
  <si>
    <t>Oxbow Power Plant Baker</t>
  </si>
  <si>
    <t>Shoshone Falls Power Plant Jer</t>
  </si>
  <si>
    <t>Strike C J Power Plant Owyhee</t>
  </si>
  <si>
    <t>Swan Falls Power Plant Ada</t>
  </si>
  <si>
    <t>Twin Falls Power Plant Twin Fa</t>
  </si>
  <si>
    <t>Twin Falls Power Plant (New)</t>
  </si>
  <si>
    <t>Thousand Springs Power Plant</t>
  </si>
  <si>
    <t>Upper Malad Power Plant</t>
  </si>
  <si>
    <t>Upper Salmon A Power Plant</t>
  </si>
  <si>
    <t>Upper Salmon B Power Plant</t>
  </si>
  <si>
    <t>Schedule 7</t>
  </si>
  <si>
    <t>GSU Allocator</t>
  </si>
  <si>
    <t>Transmission Pole Attachments</t>
  </si>
  <si>
    <t>Non-Firm</t>
  </si>
  <si>
    <t>Short Term Firm</t>
  </si>
  <si>
    <t>SCHEDULE 7</t>
  </si>
  <si>
    <t>LOCATION</t>
  </si>
  <si>
    <t>Jim Bridger</t>
  </si>
  <si>
    <t>Schedule 1 Workpaper</t>
  </si>
  <si>
    <t>Total ADIT (Account 190)</t>
  </si>
  <si>
    <t xml:space="preserve">   Total</t>
  </si>
  <si>
    <t>SCHEDULE 5</t>
  </si>
  <si>
    <t>Less GSU O&amp;M</t>
  </si>
  <si>
    <t>Less LGI O&amp;M</t>
  </si>
  <si>
    <t xml:space="preserve">   Transmission Plant Less GSU's &amp; LGI's </t>
  </si>
  <si>
    <t xml:space="preserve">Transmission Plant Less GSU's &amp; LGI's </t>
  </si>
  <si>
    <t xml:space="preserve">Transmission Depreciation Reserve Generator Step-Ups </t>
  </si>
  <si>
    <t>Account 252-Transmission (Net)</t>
  </si>
  <si>
    <t xml:space="preserve">   Less pre-paid Pension Expense</t>
  </si>
  <si>
    <t xml:space="preserve">   Net Prepayments</t>
  </si>
  <si>
    <t xml:space="preserve">   GSU Plant</t>
  </si>
  <si>
    <t>GSU Plant</t>
  </si>
  <si>
    <t>(8)+(12)+(16)+(18)+(20)</t>
  </si>
  <si>
    <t>Annual Depreciation Accrual</t>
  </si>
  <si>
    <t>By Plant and By Vintage Year</t>
  </si>
  <si>
    <t>Transmission Depreciation Expense</t>
  </si>
  <si>
    <t>Total Transmission Depreciation Expense</t>
  </si>
  <si>
    <t>Less GSU Depreciation Expense</t>
  </si>
  <si>
    <t>Less LGI Depreciation Expense</t>
  </si>
  <si>
    <t>Transmission Operation and Maintenance Expense</t>
  </si>
  <si>
    <t>Transmission O&amp;M Expense</t>
  </si>
  <si>
    <t>Accumulated Deferred Income Tax Adjustments</t>
  </si>
  <si>
    <t>LGI's</t>
  </si>
  <si>
    <t xml:space="preserve">Transmission Depreciation Reserve LGI's </t>
  </si>
  <si>
    <t>Real Estate Rents</t>
  </si>
  <si>
    <t>Accumulated Deferred Income Tax Allocated to Transmission</t>
  </si>
  <si>
    <t>LGI Allocator</t>
  </si>
  <si>
    <t>LGI Plant</t>
  </si>
  <si>
    <t>Less Wage Expense Allocated to GSU's</t>
  </si>
  <si>
    <t>Less Wage Expense Allocated to LGI's</t>
  </si>
  <si>
    <t xml:space="preserve">  Transmission Wage Expense </t>
  </si>
  <si>
    <t xml:space="preserve">   LGI Plant</t>
  </si>
  <si>
    <t>Line 32</t>
  </si>
  <si>
    <t xml:space="preserve">Amount Direct Assigned to Transmission </t>
  </si>
  <si>
    <t xml:space="preserve">Amount Direct Assigned to General </t>
  </si>
  <si>
    <t>Cogeneration</t>
  </si>
  <si>
    <t>Source</t>
  </si>
  <si>
    <t>Amount</t>
  </si>
  <si>
    <t>TRANSMISSION RATE BASE</t>
  </si>
  <si>
    <t>ADIT Allocated to Trans</t>
  </si>
  <si>
    <t>Schedule 1</t>
  </si>
  <si>
    <t xml:space="preserve">Intangible Plant </t>
  </si>
  <si>
    <t>Transmission Rate Base</t>
  </si>
  <si>
    <t>Overall Return</t>
  </si>
  <si>
    <t>The annual composite depreciation rate for</t>
  </si>
  <si>
    <t>transmission plant accounts (350 - 359) is</t>
  </si>
  <si>
    <t>Schedule 6</t>
  </si>
  <si>
    <t>EXPENSES</t>
  </si>
  <si>
    <t>O&amp;M Expense:  Transmission</t>
  </si>
  <si>
    <t xml:space="preserve">O&amp;M Expense:  A&amp;G </t>
  </si>
  <si>
    <t>Schedule 2</t>
  </si>
  <si>
    <t>Schedule 12</t>
  </si>
  <si>
    <t>Post Retirement Benefits Other than Pensions</t>
  </si>
  <si>
    <t>Methodology:</t>
  </si>
  <si>
    <t>-Compute the rate impact</t>
  </si>
  <si>
    <t>Total Increase (Decrease) of PBOPs</t>
  </si>
  <si>
    <t>Impact on Expenses:</t>
  </si>
  <si>
    <t>Change in O&amp;M Expense: Transmission A&amp;G</t>
  </si>
  <si>
    <t>(5) * (8)</t>
  </si>
  <si>
    <t>Impact on Rate Base:</t>
  </si>
  <si>
    <t>Change in Transmission Rate Base</t>
  </si>
  <si>
    <t>(9) * (12)</t>
  </si>
  <si>
    <t>Impact on Return and Income Taxes:</t>
  </si>
  <si>
    <t>Total Return and Income Tax</t>
  </si>
  <si>
    <t>(16) + (17)</t>
  </si>
  <si>
    <t>Change in Transmission Return and Income Taxes</t>
  </si>
  <si>
    <t>(13) * (18)</t>
  </si>
  <si>
    <t>Total Impact on Transmission Revenue Requirement</t>
  </si>
  <si>
    <t>(9) + (20)</t>
  </si>
  <si>
    <t>Rate Impact</t>
  </si>
  <si>
    <t>(32)/((34)*1000)</t>
  </si>
  <si>
    <t>(36) / 12</t>
  </si>
  <si>
    <t>Rate Calculation - (22)</t>
  </si>
  <si>
    <t>(41)/((43)*1000)</t>
  </si>
  <si>
    <t>(45) / 12</t>
  </si>
  <si>
    <t>Section 205 filing required?</t>
  </si>
  <si>
    <t>2.2.1</t>
  </si>
  <si>
    <t>Transmission Wages and Salaries</t>
  </si>
  <si>
    <t>Net PTP Transmission Revenue Requirement</t>
  </si>
  <si>
    <t>Sum (42) Thru (45)</t>
  </si>
  <si>
    <t>(60) - (61)</t>
  </si>
  <si>
    <t>(72) + (75) + (78)</t>
  </si>
  <si>
    <t>(10) * (11)</t>
  </si>
  <si>
    <t>(7) * (8)</t>
  </si>
  <si>
    <t>(14) * (15)</t>
  </si>
  <si>
    <t>(21) * (22)</t>
  </si>
  <si>
    <t>(28) * (29)</t>
  </si>
  <si>
    <t>(35) * (36)</t>
  </si>
  <si>
    <t>(46) * (47)</t>
  </si>
  <si>
    <t>(62) * (63)</t>
  </si>
  <si>
    <t>(67) * (68)</t>
  </si>
  <si>
    <t>(73) * (74)</t>
  </si>
  <si>
    <t>(76) * (77)</t>
  </si>
  <si>
    <t>(26) * (27)</t>
  </si>
  <si>
    <t>(Sum (3) Thru (6)) * (7)</t>
  </si>
  <si>
    <t>(5) * (17)</t>
  </si>
  <si>
    <t>(12) * (17)</t>
  </si>
  <si>
    <t>Sum (17) Thru (19)</t>
  </si>
  <si>
    <t>Sum (29) Thru (31)</t>
  </si>
  <si>
    <t>(47) + (48)</t>
  </si>
  <si>
    <t>Deprec Expense:  Transmission</t>
  </si>
  <si>
    <t>Deprec Expense:  General Plant</t>
  </si>
  <si>
    <t>Transmission Expense</t>
  </si>
  <si>
    <t>Gross Transmission Revenue Requirement</t>
  </si>
  <si>
    <t>Transmission Revenue Credits</t>
  </si>
  <si>
    <t>Schedule 4</t>
  </si>
  <si>
    <t>Schedule 5</t>
  </si>
  <si>
    <t>Annual Rate $/kW per year</t>
  </si>
  <si>
    <t>Monthly Rate $/kW per month</t>
  </si>
  <si>
    <t>Weekly Rate $/kW per week</t>
  </si>
  <si>
    <t>Daily Rate $/kW per day (Mon-Sat)</t>
  </si>
  <si>
    <t>Daily Rate $/kW per day (Sunday)</t>
  </si>
  <si>
    <t>Hourly Rate $/MW per hour  (Peak)</t>
  </si>
  <si>
    <t>Hourly Rate $/MW per hour  (Off-Peak)</t>
  </si>
  <si>
    <t>Allocated Investment</t>
  </si>
  <si>
    <t>ADIT Allocated to Transmission</t>
  </si>
  <si>
    <t>Transmission Plant Allocator</t>
  </si>
  <si>
    <t>Schedule 3</t>
  </si>
  <si>
    <t>General Plant</t>
  </si>
  <si>
    <t>Trans Related General Plant</t>
  </si>
  <si>
    <t>Intangible Plant</t>
  </si>
  <si>
    <t>Intangible Plant Investment</t>
  </si>
  <si>
    <t>Trans Related Intangible Plant</t>
  </si>
  <si>
    <t>ATTACHMENT H</t>
  </si>
  <si>
    <t xml:space="preserve">Rate Calculation </t>
  </si>
  <si>
    <t>Transmission Plant (excluding Asset Retirement Costs)</t>
  </si>
  <si>
    <t>Notes:</t>
  </si>
  <si>
    <t>The tax rate for Idaho and Oregon is the statutory corporate tax rate for those jurisdictions</t>
  </si>
  <si>
    <t>POR/POD</t>
  </si>
  <si>
    <t>JEFF/IPCO</t>
  </si>
  <si>
    <t xml:space="preserve">Firm Network Service For Others </t>
  </si>
  <si>
    <t>The Monthly formula revenue requriement shall be:</t>
  </si>
  <si>
    <t>General Plant Depreciation Reserve (excluding Asset Retirement Costs)</t>
  </si>
  <si>
    <t>CBM</t>
  </si>
  <si>
    <t>CBM Network Rate Adjustment 1/:</t>
  </si>
  <si>
    <t>Source:</t>
  </si>
  <si>
    <t>OATT Schedule 9, Appendix A</t>
  </si>
  <si>
    <t xml:space="preserve">                           (E - PTP)</t>
  </si>
  <si>
    <t>Where:</t>
  </si>
  <si>
    <t xml:space="preserve">PTP = </t>
  </si>
  <si>
    <t>Spreadsheet, Schedule 5</t>
  </si>
  <si>
    <t>E =</t>
  </si>
  <si>
    <t xml:space="preserve">Formula Rate pre 890 = </t>
  </si>
  <si>
    <t xml:space="preserve">Formula Rate = </t>
  </si>
  <si>
    <t>+</t>
  </si>
  <si>
    <t>Cash Working Capital</t>
  </si>
  <si>
    <t>Transmission Depreciation Reserve (Acct 108) (excluding Asset Retirement Costs)</t>
  </si>
  <si>
    <t>Milner Irrigation District</t>
  </si>
  <si>
    <t>Level III</t>
  </si>
  <si>
    <t>T-Mobile</t>
  </si>
  <si>
    <t>Transmission Poles</t>
  </si>
  <si>
    <t>Distribution Poles</t>
  </si>
  <si>
    <t>Conduit</t>
  </si>
  <si>
    <t>Account 454 Rents From Electric Property by Category and Subaccount</t>
  </si>
  <si>
    <t>SCHEDULE 6 WORKPAPER, Page 2</t>
  </si>
  <si>
    <t>SCHEDULE 6 WORKPAPER, Page 3</t>
  </si>
  <si>
    <t>SCHEDULE 1</t>
  </si>
  <si>
    <t>SCHEDULE 2</t>
  </si>
  <si>
    <t>SCHEDULE 3</t>
  </si>
  <si>
    <t>SCHEDULE 4</t>
  </si>
  <si>
    <t>Reimbursable Payments For Network Upgrades</t>
  </si>
  <si>
    <t>SCHEDULE 12</t>
  </si>
  <si>
    <t>SCHEDULE 2 WORKPAPER, PAGE 3</t>
  </si>
  <si>
    <t>SCHEDULE 4 WORKPAPER, PAGE 1</t>
  </si>
  <si>
    <t>SCHEDULE 4 WORKPAPER, PAGE 2</t>
  </si>
  <si>
    <t>SCHEDULE 4 WORKPAPER, PAGE 6</t>
  </si>
  <si>
    <t>OATT Non-Firm and Short Term Firm Transmission Wheeling Revenues</t>
  </si>
  <si>
    <t>Transmission-Related Revenues Reported in Account 456 for which</t>
  </si>
  <si>
    <t>Reconciliation of Form 1 with Data Used in the Rate Calculation</t>
  </si>
  <si>
    <t>SCHEDULE 4 WORKPAPER, PAGE 7</t>
  </si>
  <si>
    <t>General Plant (excluding Asset Retirement Costs)</t>
  </si>
  <si>
    <t xml:space="preserve">Sched 1 Workpaper </t>
  </si>
  <si>
    <t>General Plant Investment (excluding Asset Retirement Costs)</t>
  </si>
  <si>
    <t>Prepayments (Account 165)</t>
  </si>
  <si>
    <t>Distribution</t>
  </si>
  <si>
    <t>A&amp;G O&amp;M Expense</t>
  </si>
  <si>
    <t>Working Capital Allowance</t>
  </si>
  <si>
    <t>Allocated Expenses</t>
  </si>
  <si>
    <t>A&amp;G Expense</t>
  </si>
  <si>
    <t>Taxes Other Than Income Taxes</t>
  </si>
  <si>
    <t xml:space="preserve">   Allocated Amount</t>
  </si>
  <si>
    <t>Changes to the Draft Informational Filing Based on Customer Comments</t>
  </si>
  <si>
    <t xml:space="preserve">Changes to the Draft Informational Filing Based on Customer Comments </t>
  </si>
  <si>
    <t>Allocators</t>
  </si>
  <si>
    <t>Transmission Wage Expense</t>
  </si>
  <si>
    <t>A&amp;G Wage Expense</t>
  </si>
  <si>
    <t>Total Wage Expense</t>
  </si>
  <si>
    <t>General and Intangible Plant Allocator</t>
  </si>
  <si>
    <t xml:space="preserve"> </t>
  </si>
  <si>
    <t>Total Transmission Revenue Credit</t>
  </si>
  <si>
    <t>Rate of Return</t>
  </si>
  <si>
    <t>Capitalization Structure</t>
  </si>
  <si>
    <t>Percent</t>
  </si>
  <si>
    <t>Embedded</t>
  </si>
  <si>
    <t>Weighted</t>
  </si>
  <si>
    <t>Preferred Stock</t>
  </si>
  <si>
    <t>Common Equity</t>
  </si>
  <si>
    <t xml:space="preserve">     Total Capitalization</t>
  </si>
  <si>
    <t>Prepayments</t>
  </si>
  <si>
    <t>Transmission Related Prepayments</t>
  </si>
  <si>
    <t>Total Property Insurance</t>
  </si>
  <si>
    <t>Property Insurance to Transmission</t>
  </si>
  <si>
    <t>Regulatory Commission Expenses - FERC</t>
  </si>
  <si>
    <t>Regulatory Commission Expenses to Transmission</t>
  </si>
  <si>
    <t>Regulatory Commission Expenses - Other Transmission Related</t>
  </si>
  <si>
    <t>Total A&amp;G to Transmission</t>
  </si>
  <si>
    <t>A&amp;G to Transmission, excl Prop ins; Reg Comm Exp; Adv.</t>
  </si>
  <si>
    <t xml:space="preserve">   Less Account 561 (Load Dispatching)</t>
  </si>
  <si>
    <t xml:space="preserve">   Less:  Account 565 (Transmission of Electricity By Others)</t>
  </si>
  <si>
    <t>General &amp; Intangible Plant Allocator</t>
  </si>
  <si>
    <t>ADIT to General &amp; Intangible</t>
  </si>
  <si>
    <t>General Plant Depreciation Reserve</t>
  </si>
  <si>
    <t>RETURN AND ASSOCIATED INCOME TAXES</t>
  </si>
  <si>
    <t>Allocated General  &amp; Intangible Plant</t>
  </si>
  <si>
    <t>Transmission Related General Plant</t>
  </si>
  <si>
    <t>Transmission Related Intangible Plant</t>
  </si>
  <si>
    <t>Sum</t>
  </si>
  <si>
    <t xml:space="preserve">   Acct 924 (Property Insurance)</t>
  </si>
  <si>
    <t xml:space="preserve">   Acct 928 (Regulatory Commission Expense)</t>
  </si>
  <si>
    <t xml:space="preserve">   Account 930.1 (General Advertising Expense)</t>
  </si>
  <si>
    <t xml:space="preserve">    Allocated Amount</t>
  </si>
  <si>
    <t>Total Taxes Other Than Income Taxes</t>
  </si>
  <si>
    <t>Sum (1) Thru (19)</t>
  </si>
  <si>
    <t xml:space="preserve">Effective Cost </t>
  </si>
  <si>
    <t>Amortized ITC - Electric (Account 411.4)</t>
  </si>
  <si>
    <t>TOTAL</t>
  </si>
  <si>
    <t>January</t>
  </si>
  <si>
    <t>February</t>
  </si>
  <si>
    <t>March</t>
  </si>
  <si>
    <t>April</t>
  </si>
  <si>
    <t>May</t>
  </si>
  <si>
    <t>June</t>
  </si>
  <si>
    <t>July</t>
  </si>
  <si>
    <t>August</t>
  </si>
  <si>
    <t>September</t>
  </si>
  <si>
    <t>October</t>
  </si>
  <si>
    <t>November</t>
  </si>
  <si>
    <t>December</t>
  </si>
  <si>
    <t>Firm Network</t>
  </si>
  <si>
    <t>Service for</t>
  </si>
  <si>
    <t>Others</t>
  </si>
  <si>
    <t>A</t>
  </si>
  <si>
    <t>B</t>
  </si>
  <si>
    <t>ADIT (Account 190)</t>
  </si>
  <si>
    <t>ADIT (Account 281)</t>
  </si>
  <si>
    <t>ADIT (Account 282)</t>
  </si>
  <si>
    <t>ADIT (Account 283)</t>
  </si>
  <si>
    <t>FF1 p234 8c</t>
  </si>
  <si>
    <t>Sum of ADIT</t>
  </si>
  <si>
    <t xml:space="preserve">Return and Income Taxes </t>
  </si>
  <si>
    <t>Rent From Electric Property (Account 454)</t>
  </si>
  <si>
    <t>ADIT Allocated to Gen &amp; Intang</t>
  </si>
  <si>
    <t>ADIT Allocated to General &amp; Intangible</t>
  </si>
  <si>
    <t>Composite Income Tax (Federal and State)</t>
  </si>
  <si>
    <t>Amortization of Utility Plant</t>
  </si>
  <si>
    <t>Schedule 2 Workpaper page 1</t>
  </si>
  <si>
    <t>Schedule 2 Workpaper page 2</t>
  </si>
  <si>
    <t>DESCRIPTION</t>
  </si>
  <si>
    <t>AMOUNT</t>
  </si>
  <si>
    <t>WORK ORDER NUMBER</t>
  </si>
  <si>
    <t>Workpapers Title Page</t>
  </si>
  <si>
    <t>Workpapers</t>
  </si>
  <si>
    <t>WORKPAPERS</t>
  </si>
  <si>
    <t>Recalculated Rate Using "E"</t>
  </si>
  <si>
    <t>Trans Related Amortization of Utility Plant</t>
  </si>
  <si>
    <t xml:space="preserve">Transmission Related Amortization of Intangible Plant </t>
  </si>
  <si>
    <t>SCHEDULE 6</t>
  </si>
  <si>
    <t xml:space="preserve"> INCOME TAX EXPENSE</t>
  </si>
  <si>
    <t>Federal Tax Rate</t>
  </si>
  <si>
    <t>Composite State Tax Rate</t>
  </si>
  <si>
    <t>OVERALL RATE OF RETURN</t>
  </si>
  <si>
    <t>Federal Tax Factor:</t>
  </si>
  <si>
    <t>State Tax Factor:</t>
  </si>
  <si>
    <t>Sum of Federal and State Tax Factors</t>
  </si>
  <si>
    <t>EQAFUDC =</t>
  </si>
  <si>
    <t xml:space="preserve">Transmission Plant Held For Future Use  </t>
  </si>
  <si>
    <t xml:space="preserve">General Plant Held For Future Use  </t>
  </si>
  <si>
    <t>General Plant Held For Future Use</t>
  </si>
  <si>
    <t>Transmission Related General Plant Held For Future Use</t>
  </si>
  <si>
    <t xml:space="preserve">Transmission Materials &amp; Supplies </t>
  </si>
  <si>
    <t>Transmission Materials and Supplies</t>
  </si>
  <si>
    <t>Transmission Related Account 163</t>
  </si>
  <si>
    <t>Total Transmission Materials and Supplies</t>
  </si>
  <si>
    <t xml:space="preserve"> Schedule 1</t>
  </si>
  <si>
    <t>Account 154 - Transmission</t>
  </si>
  <si>
    <t>Account 154 - General</t>
  </si>
  <si>
    <t>Transmission Related Account 154 - General</t>
  </si>
  <si>
    <t>General Plant Depreciation</t>
  </si>
  <si>
    <t>Transmission Related Amortization of Intangible Plant (Account 404)</t>
  </si>
  <si>
    <t>III.  Interest Expense Accrued</t>
  </si>
  <si>
    <t>Line 37 - Line 46</t>
  </si>
  <si>
    <t xml:space="preserve">Taxes Other than Income:  </t>
  </si>
  <si>
    <t>Payroll Adjustment</t>
  </si>
  <si>
    <t>Plant Allocator</t>
  </si>
  <si>
    <t>Transmission Wages &amp; Salaries Allocator</t>
  </si>
  <si>
    <t>System Peak Demand - MW</t>
  </si>
  <si>
    <t>Short-Term Firm</t>
  </si>
  <si>
    <t>Transmission</t>
  </si>
  <si>
    <t>12 CP (Rounded)</t>
  </si>
  <si>
    <t xml:space="preserve">Generator Step Up Facilities </t>
  </si>
  <si>
    <t>Transmission Cash Working Capital</t>
  </si>
  <si>
    <t>FOAB &amp; Unempl Tax</t>
  </si>
  <si>
    <t>Form 1</t>
  </si>
  <si>
    <t>IDAHO POWER COMPANY</t>
  </si>
  <si>
    <t>Class and Series</t>
  </si>
  <si>
    <t>Issued</t>
  </si>
  <si>
    <t>Outstanding</t>
  </si>
  <si>
    <t>Discount</t>
  </si>
  <si>
    <t>Reservations</t>
  </si>
  <si>
    <t>Imnaha</t>
  </si>
  <si>
    <t>USBR</t>
  </si>
  <si>
    <t>Raft River</t>
  </si>
  <si>
    <t>BPA - PF</t>
  </si>
  <si>
    <t>Total</t>
  </si>
  <si>
    <t xml:space="preserve"> Long-Term Firm Transmission -  OASIS Reservations</t>
  </si>
  <si>
    <t>IPCM</t>
  </si>
  <si>
    <t>OASIS Ref:</t>
  </si>
  <si>
    <t>Annual</t>
  </si>
  <si>
    <t>[Formula]</t>
  </si>
  <si>
    <t>Net</t>
  </si>
  <si>
    <t>Line</t>
  </si>
  <si>
    <t xml:space="preserve">   Principal Amount</t>
  </si>
  <si>
    <t>Expense</t>
  </si>
  <si>
    <t>Proceeds</t>
  </si>
  <si>
    <t>Interest</t>
  </si>
  <si>
    <t>Effective</t>
  </si>
  <si>
    <t>No</t>
  </si>
  <si>
    <t>Price</t>
  </si>
  <si>
    <t>of Issue</t>
  </si>
  <si>
    <t>Received</t>
  </si>
  <si>
    <t>Rate</t>
  </si>
  <si>
    <t>Requirements</t>
  </si>
  <si>
    <t>Cost</t>
  </si>
  <si>
    <t>First Mortgage Bonds:</t>
  </si>
  <si>
    <t xml:space="preserve">  5.5% Series, due 2033 .…             </t>
  </si>
  <si>
    <t xml:space="preserve">  5.5% Series, due 2034 .…             </t>
  </si>
  <si>
    <t xml:space="preserve">  5.875% Series, due 2034….</t>
  </si>
  <si>
    <t xml:space="preserve">  5.30% Series, due 2035….</t>
  </si>
  <si>
    <t xml:space="preserve">     Total First Mortgage Bonds</t>
  </si>
  <si>
    <t>Pollution Control Revenue Bonds:</t>
  </si>
  <si>
    <t>Total Pollution Control Revenue Bonds</t>
  </si>
  <si>
    <t>TOTAL DEBT CAPITAL ...........</t>
  </si>
  <si>
    <t xml:space="preserve">  Less  Amount Allocated to GSU's</t>
  </si>
  <si>
    <t xml:space="preserve">  Less Amount Allocated to LGI's</t>
  </si>
  <si>
    <t>1/</t>
  </si>
  <si>
    <t>Schedule 8</t>
  </si>
  <si>
    <t>SCHEDULE 8</t>
  </si>
  <si>
    <t>Large Generator Interconnections</t>
  </si>
  <si>
    <t xml:space="preserve"> Investment, Accumulated Depreciation Reserve and Annual Accrual</t>
  </si>
  <si>
    <t>Bennett Mountain Power Plant</t>
  </si>
  <si>
    <t>SCHEDULE 11</t>
  </si>
  <si>
    <t>Charges Under the Formula Rate</t>
  </si>
  <si>
    <t>SCHEDULE 10</t>
  </si>
  <si>
    <t>New Transmission Plant Installed With A Cost in Excess of $250,000</t>
  </si>
  <si>
    <t>SCHEDULE 4 WORKPAPER, PAGE 4</t>
  </si>
  <si>
    <t>Telemetry</t>
  </si>
  <si>
    <t>Fiber Optic Attachment</t>
  </si>
  <si>
    <t>SCHEDULE 2 WORKPAPER, PAGE 1</t>
  </si>
  <si>
    <t>GSU Operation and Maintenance Expense</t>
  </si>
  <si>
    <t xml:space="preserve"> Solely Owned Plants</t>
  </si>
  <si>
    <t>27132459 - DNPR - PREVENTIVE MAINTENANCE</t>
  </si>
  <si>
    <t>27134450 - LMPR PREVENTIVE MAINTENANCE</t>
  </si>
  <si>
    <t>27136696 - BLPR PREVENTIVE MAINTENANCE</t>
  </si>
  <si>
    <t>27136835 - SKPR-PREVENTIVE MAINTENANCE</t>
  </si>
  <si>
    <t>Joint Use Rental Fees</t>
  </si>
  <si>
    <t>(3) / (4)</t>
  </si>
  <si>
    <t>(10) / (11)</t>
  </si>
  <si>
    <t>27136838 - SWPO-PREVENTIVE MAINTENANCE</t>
  </si>
  <si>
    <t>27137842 - AFPR PREVENTIVE MAINTENANCE</t>
  </si>
  <si>
    <t>27137896 - HCPR PREVENTIVE MAINTENANCE</t>
  </si>
  <si>
    <t>27137905 - OBPR PREVENTIVE MAINTENANCE</t>
  </si>
  <si>
    <t>27137974 - CDPO PREVENTIVE MAINTENANCE</t>
  </si>
  <si>
    <t>27141465 - SFPR PREVENTIVE MAINTENANCE</t>
  </si>
  <si>
    <t>27141484 - LSPR PREVENTIVE MAINTENANCE</t>
  </si>
  <si>
    <t>27141523 - BSPO PREVENTIVE MAINTENANCE</t>
  </si>
  <si>
    <t>27141529 - US34 PREVENTIVE MAINTENANCE</t>
  </si>
  <si>
    <t>27141614 - UMPR PREVENTIVE MAINTENANCE</t>
  </si>
  <si>
    <t>27141617 - TSPO PREVENTIVE MAINTENANCE</t>
  </si>
  <si>
    <t>27141624 - TFPR PREVENTIVE MAINTENANCE</t>
  </si>
  <si>
    <t>27141637 - MLPR PREVENTIVE MAINTENANCE</t>
  </si>
  <si>
    <t>27143846 - CLPR PREVENTIVE MAINTENANCE</t>
  </si>
  <si>
    <t>27160282 - US12 PREVENTIVE MAINTENANCE</t>
  </si>
  <si>
    <t>27132460 - DNPR - CORRECTIVE MAINTENANCE</t>
  </si>
  <si>
    <t>27134451 - LMPR CORRECTIVE MAINTENANCE</t>
  </si>
  <si>
    <t>27136700 - BLPR CORRECTIVE MAINTENANCE</t>
  </si>
  <si>
    <t>27136837 - SKPR-CORRECTIVE MAINTENANCE</t>
  </si>
  <si>
    <t>27136839 - SWPO-CORRECTIVE MAINTENANCE</t>
  </si>
  <si>
    <t>27137850 - AFPR CORRECTIVE MAINTENANCE</t>
  </si>
  <si>
    <t>27137900 - HCPR CORRECTIVE MAINTENANCE</t>
  </si>
  <si>
    <t>27137910 - OBPR CORRECTIVE MAINTENANCE</t>
  </si>
  <si>
    <t>27137975 - CDPO CORRECTIVE MAINTENANCE</t>
  </si>
  <si>
    <t>27141469 - SFPR CORRECTIVE MAINTENANCE</t>
  </si>
  <si>
    <t>27141485 - LSPR CORRECTIVE MAINTENANCE</t>
  </si>
  <si>
    <t>27141524 - BSPO CORRECTIVE MAINTENANCE</t>
  </si>
  <si>
    <t>27141530 - US34 CORRENTIVE MAINTENANCE</t>
  </si>
  <si>
    <t>27141615 - UMPR CORRECTIVE MAINTENANCE</t>
  </si>
  <si>
    <t>27141618 - TSPO CORRECTIVE MAINTENANCE</t>
  </si>
  <si>
    <t>27141626 - TFPR CORRECTIVE MAINTENANCE</t>
  </si>
  <si>
    <t>27141638 - MLPR CORRECTIVE MAINTENANCE</t>
  </si>
  <si>
    <t>27143849 - CLPR CORRECTIVE MAINTENANCE</t>
  </si>
  <si>
    <t>27160285 - US12 CORRECTIVE MAINTENANCE</t>
  </si>
  <si>
    <t>Subtotal</t>
  </si>
  <si>
    <t>SCHEDULE 2 WORKPAPER, PAGE 2</t>
  </si>
  <si>
    <t>LGI Operation and Maintenance Expense</t>
  </si>
  <si>
    <t xml:space="preserve">Total Transmission O&amp;M </t>
  </si>
  <si>
    <t>LGI Allocation Factor</t>
  </si>
  <si>
    <t>Transmission O&amp;M Allocated to LGI</t>
  </si>
  <si>
    <t>Line 1 x Line 2</t>
  </si>
  <si>
    <t>Schedule 4 Workpaper page 1</t>
  </si>
  <si>
    <t xml:space="preserve">Amount </t>
  </si>
  <si>
    <t>Subaccount and Category</t>
  </si>
  <si>
    <t>Revenue Credited</t>
  </si>
  <si>
    <t>Comments</t>
  </si>
  <si>
    <t>C</t>
  </si>
  <si>
    <t>D</t>
  </si>
  <si>
    <t>454101, 454102</t>
  </si>
  <si>
    <t>Bureau of Indian Affairs</t>
  </si>
  <si>
    <t>Distribution-related faciliites charges</t>
  </si>
  <si>
    <t>See Schedule 4 Workpaper, page 4</t>
  </si>
  <si>
    <t>Joint Pole Rents</t>
  </si>
  <si>
    <t>See Schedule 4 Workpaper, page 3</t>
  </si>
  <si>
    <t>General Business Facilities Charges</t>
  </si>
  <si>
    <t>Overnight Park Rents</t>
  </si>
  <si>
    <t>Power Supply-related. These fees are for the usage of recreational parks located at hydroelectric power plants owned by the Company</t>
  </si>
  <si>
    <t>454181, 454281</t>
  </si>
  <si>
    <t>Fiber Rents</t>
  </si>
  <si>
    <t>454251, 454271</t>
  </si>
  <si>
    <t>TOTAL ACCOUNT 454</t>
  </si>
  <si>
    <t>TOTAL AMOUNT REVENUE CREDITED</t>
  </si>
  <si>
    <t>Customer</t>
  </si>
  <si>
    <t>Type</t>
  </si>
  <si>
    <t>Tele</t>
  </si>
  <si>
    <t>Filer</t>
  </si>
  <si>
    <t xml:space="preserve">Midvale </t>
  </si>
  <si>
    <t>Project Mutual</t>
  </si>
  <si>
    <t>Misc.</t>
  </si>
  <si>
    <t>American Red Cross</t>
  </si>
  <si>
    <t>Barger Mattson</t>
  </si>
  <si>
    <t>City of Weiser</t>
  </si>
  <si>
    <t>Kinross Delamar</t>
  </si>
  <si>
    <t>Oregon Trail Electirc</t>
  </si>
  <si>
    <t>St. Lukes</t>
  </si>
  <si>
    <t>CATV</t>
  </si>
  <si>
    <t>Cambridge</t>
  </si>
  <si>
    <t>Cox</t>
  </si>
  <si>
    <t>CLEC</t>
  </si>
  <si>
    <t>PCS</t>
  </si>
  <si>
    <t>Totals</t>
  </si>
  <si>
    <t>SCHEDULE 4 WORKPAPER, PAGE 3</t>
  </si>
  <si>
    <t>Voucher</t>
  </si>
  <si>
    <t>DISTDESC</t>
  </si>
  <si>
    <t>Sum TOTAMT</t>
  </si>
  <si>
    <t>Descr</t>
  </si>
  <si>
    <t>G</t>
  </si>
  <si>
    <t>Schedule 10</t>
  </si>
  <si>
    <t>New Transmission Plant Installed with a Cost in Excess of $250,000</t>
  </si>
  <si>
    <t>1.1.2 n</t>
  </si>
  <si>
    <t>Schedule 11</t>
  </si>
  <si>
    <t>1.1.2 m</t>
  </si>
  <si>
    <t>PP = Power Production</t>
  </si>
  <si>
    <t>D = Distribution</t>
  </si>
  <si>
    <t>G = General</t>
  </si>
  <si>
    <t>GSU</t>
  </si>
  <si>
    <t>Transmission Work Order Types</t>
  </si>
  <si>
    <t>By Vintage Year</t>
  </si>
  <si>
    <t>SCHEDULE 13</t>
  </si>
  <si>
    <t>Schedule 13</t>
  </si>
  <si>
    <t>1.1.4</t>
  </si>
  <si>
    <t xml:space="preserve">Transformer Investment and Accumulated Depreciation </t>
  </si>
  <si>
    <t>Calculation of Point to Point Transmission Tariff Rate</t>
  </si>
  <si>
    <t xml:space="preserve">Annual </t>
  </si>
  <si>
    <t>Demand</t>
  </si>
  <si>
    <t>PTP Rate</t>
  </si>
  <si>
    <t>Transmission Revenue Requirement</t>
  </si>
  <si>
    <t xml:space="preserve"> Revenue Credits</t>
  </si>
  <si>
    <t>Revenue Requirement</t>
  </si>
  <si>
    <t>$/kW-yr</t>
  </si>
  <si>
    <t>Calculation of Annual Network Transmission Revenue Requirement</t>
  </si>
  <si>
    <t>Revenue Credits</t>
  </si>
  <si>
    <t xml:space="preserve">Revenues From </t>
  </si>
  <si>
    <t>Rent From Electric Property</t>
  </si>
  <si>
    <t>Transmission For Others - Account 456</t>
  </si>
  <si>
    <t xml:space="preserve">Total </t>
  </si>
  <si>
    <t>Account 454</t>
  </si>
  <si>
    <t>MW</t>
  </si>
  <si>
    <t>and Non-Firm and Short Term Firm Service For Self</t>
  </si>
  <si>
    <t>Calc of PTP</t>
  </si>
  <si>
    <t>Calc of NT Rev Req</t>
  </si>
  <si>
    <t xml:space="preserve">Rates For OATT Schedules 7, 8 and 9 </t>
  </si>
  <si>
    <t>Calculation of Annual Network Transmission Revenue Requirements</t>
  </si>
  <si>
    <t xml:space="preserve"> Transmission Revenue Credits</t>
  </si>
  <si>
    <t>; 1.1.2 b</t>
  </si>
  <si>
    <t>WORKSHEET</t>
  </si>
  <si>
    <t>TITLE</t>
  </si>
  <si>
    <t>OATT REFERENCE</t>
  </si>
  <si>
    <t>FUNCTIONAL  ASSIGNMENT</t>
  </si>
  <si>
    <t>G Subtotal</t>
  </si>
  <si>
    <t>Direct Communications</t>
  </si>
  <si>
    <t>Custer Telephone</t>
  </si>
  <si>
    <t>PP Subtotal</t>
  </si>
  <si>
    <t>T Subtotal</t>
  </si>
  <si>
    <t>D Subtotal</t>
  </si>
  <si>
    <t>SCHEDULE 4 WORKPAPER, PAGE 5</t>
  </si>
  <si>
    <t>Application Fees - Joint Use Rentals</t>
  </si>
  <si>
    <t>1.1.2 a</t>
  </si>
  <si>
    <t>1.1.2 c</t>
  </si>
  <si>
    <t>1.1.2 d</t>
  </si>
  <si>
    <t>1.1.2 e</t>
  </si>
  <si>
    <t>1.1.2 f</t>
  </si>
  <si>
    <t>1.1.2 g</t>
  </si>
  <si>
    <t>1.1.2 h</t>
  </si>
  <si>
    <t>1.1.2 i</t>
  </si>
  <si>
    <t>1.1.2 j</t>
  </si>
  <si>
    <t xml:space="preserve">Large Generator Interconnection Investment, Accumulated Depreciation Reserve and Annual Accrual </t>
  </si>
  <si>
    <t>1.1.2 l</t>
  </si>
  <si>
    <t>1.1.2 k</t>
  </si>
  <si>
    <t>Reimbursable Prepayments For Network Upgrades and Interest Expense Reimbursed</t>
  </si>
  <si>
    <t>Total Transmission Plant (excl. Asset Retirement Costs)</t>
  </si>
  <si>
    <t>(20) /  ((22) - (21))</t>
  </si>
  <si>
    <t>Total Electric Plant (excl. Asset Retirement Costs)</t>
  </si>
  <si>
    <t>Subaccount and Category (Source of Rent)</t>
  </si>
  <si>
    <t>Nature of Each Source of Rent</t>
  </si>
  <si>
    <t>To Schedule 4, lines 4, 5 and 6</t>
  </si>
  <si>
    <t>To Schedule 4 Workpaper, page 1</t>
  </si>
  <si>
    <t>To Sch 4 Workpaper, p 1:</t>
  </si>
  <si>
    <t>010157</t>
  </si>
  <si>
    <t>020157</t>
  </si>
  <si>
    <t>040157</t>
  </si>
  <si>
    <t>050157</t>
  </si>
  <si>
    <t>060157</t>
  </si>
  <si>
    <t>080157</t>
  </si>
  <si>
    <t>090157</t>
  </si>
  <si>
    <t>100157</t>
  </si>
  <si>
    <t>110157</t>
  </si>
  <si>
    <t>E</t>
  </si>
  <si>
    <t>F</t>
  </si>
  <si>
    <t>(D) - (B) -(C)</t>
  </si>
  <si>
    <t>Form 1,p400(f)</t>
  </si>
  <si>
    <t>Long-Term Firm PTP</t>
  </si>
  <si>
    <t>FORM 1,p400(e)</t>
  </si>
  <si>
    <t>FORM 1,p400(f)</t>
  </si>
  <si>
    <t>FORM 1,p400(g)</t>
  </si>
  <si>
    <t>FORM 1,p400(i)</t>
  </si>
  <si>
    <t>FORM 1,p400(b)</t>
  </si>
  <si>
    <t>Schedule 5 (A)</t>
  </si>
  <si>
    <t>Schedule 5 (B)</t>
  </si>
  <si>
    <t>Schedule 5 (F)</t>
  </si>
  <si>
    <t>Schedule 5 (D)</t>
  </si>
  <si>
    <t>Monthly Peak</t>
  </si>
  <si>
    <t>MW Total</t>
  </si>
  <si>
    <t xml:space="preserve"> = Ratio of Transmission to Total </t>
  </si>
  <si>
    <t xml:space="preserve">Service for Self </t>
  </si>
  <si>
    <t>Schedule 4 Workpaper page 6</t>
  </si>
  <si>
    <t>Schedule 5 (G)</t>
  </si>
  <si>
    <t xml:space="preserve">included in the OATT Short Term Firm and Non Firm revenues shown on this Schedule 4 </t>
  </si>
  <si>
    <t>Category</t>
  </si>
  <si>
    <t>Vin Year</t>
  </si>
  <si>
    <t>Sum Cost</t>
  </si>
  <si>
    <t>Depreciation Rate</t>
  </si>
  <si>
    <t>Total Accumulated Depreciation</t>
  </si>
  <si>
    <t>Net Plant</t>
  </si>
  <si>
    <t>Annual Accrual</t>
  </si>
  <si>
    <t>GPBLPR01</t>
  </si>
  <si>
    <t>GPDNPR</t>
  </si>
  <si>
    <t>GPHCPR03</t>
  </si>
  <si>
    <t>GPOBPR02</t>
  </si>
  <si>
    <t>GPSWPO01</t>
  </si>
  <si>
    <t>GPTFPR03</t>
  </si>
  <si>
    <t>GPMLPR01</t>
  </si>
  <si>
    <t>GPSFPR01</t>
  </si>
  <si>
    <t>GPUMPR01</t>
  </si>
  <si>
    <t>GPCDPO01</t>
  </si>
  <si>
    <t>GPSKPR02</t>
  </si>
  <si>
    <t>GPAFPR01</t>
  </si>
  <si>
    <t>GPCLPR01</t>
  </si>
  <si>
    <t>GPBSPO01</t>
  </si>
  <si>
    <t>GPLMPR01</t>
  </si>
  <si>
    <t>GPTSPO01</t>
  </si>
  <si>
    <t>GPUS1201</t>
  </si>
  <si>
    <t>GPLSPR01</t>
  </si>
  <si>
    <t>GPTFPR01</t>
  </si>
  <si>
    <t>GPUS3401</t>
  </si>
  <si>
    <t>Schedule 7 Workpaper</t>
  </si>
  <si>
    <t>SCL</t>
  </si>
  <si>
    <t>PAC</t>
  </si>
  <si>
    <t>LYPK/LGBP</t>
  </si>
  <si>
    <t>Portland General Electric</t>
  </si>
  <si>
    <t>Account 163 - Stores Expense Undistributed</t>
  </si>
  <si>
    <t xml:space="preserve">  6.30% Series, due 2037…</t>
  </si>
  <si>
    <t xml:space="preserve">  6.25% Series, due 2037…</t>
  </si>
  <si>
    <t>IV. Total Unreimbursed Portion of Network Upgrade Prepayments (Account 252) Net of Accumulated Depreciation and Interest Expense Accrued:</t>
  </si>
  <si>
    <t xml:space="preserve"> Net of Accumulated Depreciaion</t>
  </si>
  <si>
    <t>Unreimbursed Prepayments</t>
  </si>
  <si>
    <t>II.  Unreimbursed Portion of Network Upgrade Prepayments (Account 252) Net of Accumulated Depreciation</t>
  </si>
  <si>
    <t>Plant Balance</t>
  </si>
  <si>
    <t>I.  Plant Balance and Depreciation</t>
  </si>
  <si>
    <t xml:space="preserve">  6.00% Series, due 2032 .…             </t>
  </si>
  <si>
    <t>(1)</t>
  </si>
  <si>
    <t>(2)</t>
  </si>
  <si>
    <t>(3)</t>
  </si>
  <si>
    <t>(4)</t>
  </si>
  <si>
    <t>(5)</t>
  </si>
  <si>
    <t>(6)</t>
  </si>
  <si>
    <t>(7)</t>
  </si>
  <si>
    <t>(8)</t>
  </si>
  <si>
    <t>(9)</t>
  </si>
  <si>
    <t>(10)</t>
  </si>
  <si>
    <t>(11)</t>
  </si>
  <si>
    <t>(12)</t>
  </si>
  <si>
    <t>(13)</t>
  </si>
  <si>
    <t>(14)</t>
  </si>
  <si>
    <t>[(6)-(8)-(9)-(10)]</t>
  </si>
  <si>
    <t>[(2) * (6)]</t>
  </si>
  <si>
    <t>[(13)/(11)]</t>
  </si>
  <si>
    <t>Coupon</t>
  </si>
  <si>
    <t xml:space="preserve">Settlement </t>
  </si>
  <si>
    <t>Maturity</t>
  </si>
  <si>
    <t>(Premium)/</t>
  </si>
  <si>
    <t>Underwriter</t>
  </si>
  <si>
    <t>Date</t>
  </si>
  <si>
    <t>Commission</t>
  </si>
  <si>
    <t>Yield</t>
  </si>
  <si>
    <t xml:space="preserve">  Sweetwater Series 2006, due 2026 …</t>
  </si>
  <si>
    <t xml:space="preserve">  Humboldt Series 2003, due 2024 …          </t>
  </si>
  <si>
    <t>NOTE: American Falls Dam Bond and Milner Dam Note are guarantees. These instruments are excluded in rate making calculations and therefore are omitted from this schedule.</t>
  </si>
  <si>
    <t>Transmission ROW</t>
  </si>
  <si>
    <t>Transmission App. Fees</t>
  </si>
  <si>
    <t>Distribution App. Fees</t>
  </si>
  <si>
    <t>City of American Falls</t>
  </si>
  <si>
    <t>Less:  non-454 revenue</t>
  </si>
  <si>
    <t>Jointly Owned Plants (Idaho Power's Share 1/)</t>
  </si>
  <si>
    <t>Total Account 454</t>
  </si>
  <si>
    <t>Substantive Charges to Accounting Policies, Practices and Procedures that could Affect Changes Under the Formula Rate</t>
  </si>
  <si>
    <t>000's</t>
  </si>
  <si>
    <t xml:space="preserve">  4.85% Series due 2040…</t>
  </si>
  <si>
    <t>107000 Total</t>
  </si>
  <si>
    <t>Snake River</t>
  </si>
  <si>
    <t>Out-of-Period Adjustments</t>
  </si>
  <si>
    <t>T</t>
  </si>
  <si>
    <t>PP</t>
  </si>
  <si>
    <t>Hemmingway JOOA</t>
  </si>
  <si>
    <t>Rate Calculation, ln 49</t>
  </si>
  <si>
    <t>General Advertising Expense - Transmission Related</t>
  </si>
  <si>
    <t>Line 41 x GSU Allocator (Sch 3)</t>
  </si>
  <si>
    <t>Line 41 x LGI Allocator (Sch 3)</t>
  </si>
  <si>
    <t>BPA-USBR NITSA</t>
  </si>
  <si>
    <t>BPA-OTEC NITSA</t>
  </si>
  <si>
    <t xml:space="preserve">SIERRA-Valmy </t>
  </si>
  <si>
    <t xml:space="preserve">PAC-Bridger-Unit 1 </t>
  </si>
  <si>
    <t xml:space="preserve">PAC-Bridger-Unit 2 </t>
  </si>
  <si>
    <t xml:space="preserve">PAC-Bridger-Unit 3 </t>
  </si>
  <si>
    <t xml:space="preserve">PAC-Bridger-Unit 4 </t>
  </si>
  <si>
    <t xml:space="preserve">PAC-Bridger-Spare </t>
  </si>
  <si>
    <t xml:space="preserve">Rates For OATT Schedule 7, 8 and 9 </t>
  </si>
  <si>
    <t>Functionalization Of Real Estate Rents Recorded In Account 454</t>
  </si>
  <si>
    <t>To Schedule 4, line 8</t>
  </si>
  <si>
    <t>Joint Use Pole Attachment Application Fees</t>
  </si>
  <si>
    <t>Pacificorp - Imnaha NITSA</t>
  </si>
  <si>
    <t>Form 1 (Page 400)</t>
  </si>
  <si>
    <t>SCHEDULE 6 WORKPAPER PAGE 1</t>
  </si>
  <si>
    <t>Cost of Long-Term Debt</t>
  </si>
  <si>
    <t>Amortization Expense: Intangible Plant</t>
  </si>
  <si>
    <t>INFORMATIONAL FILING</t>
  </si>
  <si>
    <t>Idaho Power Share of Bridger 33.33%</t>
  </si>
  <si>
    <t>Idaho Power Share of Valmy 50%</t>
  </si>
  <si>
    <t>Bonneville Power Administration</t>
  </si>
  <si>
    <t>Sorance Bean</t>
  </si>
  <si>
    <t>LS Networks</t>
  </si>
  <si>
    <t>Windwave</t>
  </si>
  <si>
    <t>OATT Attach H, 3.1.1.11(f)</t>
  </si>
  <si>
    <t>415101 &amp; 415102:</t>
  </si>
  <si>
    <t>Valmy #1 &amp; Common Non-Steam</t>
  </si>
  <si>
    <t>Valmy #2 Substation</t>
  </si>
  <si>
    <t>Less Regulatory Liability for Income Taxes</t>
  </si>
  <si>
    <t>Account 415 Joint Use Revenues That are Included as Revenue Credits</t>
  </si>
  <si>
    <t>Allocation Demand and Capacity Data</t>
  </si>
  <si>
    <t>Allocation Demand and Capacity Data - Reconciliation with Form 1</t>
  </si>
  <si>
    <t>T = Transmission</t>
  </si>
  <si>
    <t>General, Allocated to Transmission</t>
  </si>
  <si>
    <t>Total Transmission Related</t>
  </si>
  <si>
    <t xml:space="preserve"> Functionalization of Joint Use Rental Fees Recorded in Account 454</t>
  </si>
  <si>
    <t>IPCL</t>
  </si>
  <si>
    <t>Century Link-Idaho(Capital)</t>
  </si>
  <si>
    <t>Century Link-Oregon(Malhuer)</t>
  </si>
  <si>
    <t>BPA-PF NITSA</t>
  </si>
  <si>
    <t>Pre August 1, 2008 Rates</t>
  </si>
  <si>
    <t>August 1, 2008 - May 31, 2012 Rates</t>
  </si>
  <si>
    <t xml:space="preserve">  4.30% Series due 2042…</t>
  </si>
  <si>
    <t>Langley Gulch Power Plant</t>
  </si>
  <si>
    <t>Schedule 2 less (Accounts 561 and 565 from Rate Calculation tab)</t>
  </si>
  <si>
    <t>Zayo</t>
  </si>
  <si>
    <t>Wtechlink</t>
  </si>
  <si>
    <t>Carl Bond</t>
  </si>
  <si>
    <t>Dana Rasmussen</t>
  </si>
  <si>
    <t>Meadow Outdoor Advertising</t>
  </si>
  <si>
    <t>Snake River PCS</t>
  </si>
  <si>
    <t>Eastwind Community Church</t>
  </si>
  <si>
    <t xml:space="preserve">  4.00% Series due 2043...</t>
  </si>
  <si>
    <t>27351267 - LGSY CORRECTIVE MAINTENANCE</t>
  </si>
  <si>
    <t>Valmy Substation</t>
  </si>
  <si>
    <t>Difference</t>
  </si>
  <si>
    <t>Misc. difference</t>
  </si>
  <si>
    <t>Application fees:</t>
  </si>
  <si>
    <t>Total invoiced:</t>
  </si>
  <si>
    <t>Recorded to 454 revenue in error:</t>
  </si>
  <si>
    <t>27351266 - LGSY PREVENTIVE MAINTENANCE</t>
  </si>
  <si>
    <t>Powerex Corporation</t>
  </si>
  <si>
    <t xml:space="preserve">included on this Schedule 4 Workpaper, page 6, on line 28 and in the totals on lines 30 and 32.  </t>
  </si>
  <si>
    <t>Albion Telephone</t>
  </si>
  <si>
    <t>Distribution Power Boxes</t>
  </si>
  <si>
    <t>Vale School District</t>
  </si>
  <si>
    <t>Zito Media</t>
  </si>
  <si>
    <t>Involta</t>
  </si>
  <si>
    <t>Pacificorp, Inc.</t>
  </si>
  <si>
    <t>Diamond Livestock-Jay Faulkner</t>
  </si>
  <si>
    <t>General Plant Accum Depr (excluding Asset Retirement Costs)</t>
  </si>
  <si>
    <t>Trans Related General Plant Depr</t>
  </si>
  <si>
    <t>FOAB (Soc Sec) and Unemp Tax</t>
  </si>
  <si>
    <t>BORA/LGBP</t>
  </si>
  <si>
    <t>Transmission Power Boxes</t>
  </si>
  <si>
    <t>Overhead Line Safety Campaign</t>
  </si>
  <si>
    <t>Radio Ads</t>
  </si>
  <si>
    <t>Print Ads</t>
  </si>
  <si>
    <t>Transmission %</t>
  </si>
  <si>
    <t>Total Advertising</t>
  </si>
  <si>
    <t>Trans Alloc %</t>
  </si>
  <si>
    <t>Trans Amount</t>
  </si>
  <si>
    <t>Schedule 2 Workpaper, page 5</t>
  </si>
  <si>
    <t>Total Transmission O&amp;M less Retail Jurisdictional RTO Development Costs Amortized to Account 566</t>
  </si>
  <si>
    <t>Transmission Projects Only</t>
  </si>
  <si>
    <t>Changes in Plant Balance</t>
  </si>
  <si>
    <t>KPRT/HURR</t>
  </si>
  <si>
    <t>BORA/HURR</t>
  </si>
  <si>
    <t>Washington</t>
  </si>
  <si>
    <t xml:space="preserve">  3.65% Series due 2045...</t>
  </si>
  <si>
    <t>Joint Ownership and Operating Agreement with PacifiCorp for the Asset Exchange dated October 30, 2015</t>
  </si>
  <si>
    <t xml:space="preserve">Distribution-related faciliites charges under Sch 66-(optional distribution services) such as devices for off-site meter reading; Schedules 9, 19, Street Lighting, Dusk to Dawn, etc  </t>
  </si>
  <si>
    <t>The Energy Authority, Inc.</t>
  </si>
  <si>
    <t>Oregon Idaho Utilities</t>
  </si>
  <si>
    <t>POWER</t>
  </si>
  <si>
    <t>United Electric Co-Op</t>
  </si>
  <si>
    <t>Barrett &amp; Clay Walker</t>
  </si>
  <si>
    <t>Lloyd &amp; Darlene Stockton</t>
  </si>
  <si>
    <t>Property Taxes (ID,OR,MT,NV,WY,WA)</t>
  </si>
  <si>
    <t>Contract Term</t>
  </si>
  <si>
    <t>BPAP</t>
  </si>
  <si>
    <t>SMLK/KPRT</t>
  </si>
  <si>
    <t>M500/KPRT</t>
  </si>
  <si>
    <t xml:space="preserve">Cogeneration O&amp;M Charges Under Idaho Power's </t>
  </si>
  <si>
    <t>Retail Schedule 72 Recorded in Account 454</t>
  </si>
  <si>
    <t>Account 415 Joint Use Revenues that are included as Revenue Credits</t>
  </si>
  <si>
    <t>454152</t>
  </si>
  <si>
    <t>Jeanne Warnock</t>
  </si>
  <si>
    <t>Jentzsch-Kearl - Paul Sub</t>
  </si>
  <si>
    <t>City of Nampa</t>
  </si>
  <si>
    <t>United Water Idaho</t>
  </si>
  <si>
    <t>Rural Telephone</t>
  </si>
  <si>
    <t>Fatbeam</t>
  </si>
  <si>
    <t>Unite Private Networks</t>
  </si>
  <si>
    <t>Recorded in Account 456 that are included as Revenue Credits</t>
  </si>
  <si>
    <t>Transactions are included in the Rate Divisor (Demand-Only Revenue)</t>
  </si>
  <si>
    <t>454001, 454003, 454004, 464161, 454702</t>
  </si>
  <si>
    <t>Water Lease</t>
  </si>
  <si>
    <t>Water leases</t>
  </si>
  <si>
    <t xml:space="preserve">multiplied by Idaho Power's state apportionment factor for each.  </t>
  </si>
  <si>
    <t>Due to the immaterial amount of tax normally due the other states, the rate is simply an</t>
  </si>
  <si>
    <t>estimate based on history.</t>
  </si>
  <si>
    <t xml:space="preserve">  4.05% Series due 2046...</t>
  </si>
  <si>
    <t>Equity AFUDC Charged to CWIP</t>
  </si>
  <si>
    <t>Year 1</t>
  </si>
  <si>
    <t>Year 2</t>
  </si>
  <si>
    <t>Form 1p400(b)</t>
  </si>
  <si>
    <t>June 1, 2012 - May 31, 2017 Rates</t>
  </si>
  <si>
    <t>Avangrid Renewables, LLC</t>
  </si>
  <si>
    <t>Energy Keepers, Inc.</t>
  </si>
  <si>
    <t>Oregon Telephone Corp</t>
  </si>
  <si>
    <t>City of Kuna</t>
  </si>
  <si>
    <t>The initial implementation of an accounting standard or policy.</t>
  </si>
  <si>
    <t>The initial implementation of accounting practices for unusual or unconventional items where FERC has not provided specific accounting direction.</t>
  </si>
  <si>
    <t>Corrections of errors and prior period adjustments that impact the revenue requirement calculation.</t>
  </si>
  <si>
    <t>The implementation of new estimation methods or policies that change prior estimates.</t>
  </si>
  <si>
    <t>Changes to income tax elections.</t>
  </si>
  <si>
    <t>Accounting Changes</t>
  </si>
  <si>
    <t>Historic Cost Basis</t>
  </si>
  <si>
    <t>Identify items included in the formula rate at an amount other than on a historic cost basis.</t>
  </si>
  <si>
    <t>Reorganization or Merger Transactions</t>
  </si>
  <si>
    <t>Explain any reorganization or merger transactions and the effect of the accounting for such transaction on inputs to the formula rate.</t>
  </si>
  <si>
    <t>Identify any errors in the FERC Form 1, formula rate template, or accounting data that impacts the formula rate in previous rate years.</t>
  </si>
  <si>
    <t>None</t>
  </si>
  <si>
    <t>Mark Turner</t>
  </si>
  <si>
    <t>IPCOGEN/LGBP</t>
  </si>
  <si>
    <t xml:space="preserve">  4.20% Series due 2048…</t>
  </si>
  <si>
    <t>454151</t>
  </si>
  <si>
    <t>Idaho Public Television</t>
  </si>
  <si>
    <t>Lamar Outdoor Advertising</t>
  </si>
  <si>
    <t>Lamb Weston Inc</t>
  </si>
  <si>
    <t>Level 3 Communications</t>
  </si>
  <si>
    <t>Oxbow Christian Fellowship</t>
  </si>
  <si>
    <t>Salmon Falls Land &amp; Livestock</t>
  </si>
  <si>
    <t>State of Idaho</t>
  </si>
  <si>
    <t>State of Idaho - AF Repeater</t>
  </si>
  <si>
    <t>Avista Corporation</t>
  </si>
  <si>
    <t>Mag Energy Solutions</t>
  </si>
  <si>
    <t>Pole attachment write-offs/Adjustments</t>
  </si>
  <si>
    <t>Amort of ITC (Acct 411.4) and Excess ADIT (Acct 411.1)</t>
  </si>
  <si>
    <t>(-1)(32)+(33) * (34)</t>
  </si>
  <si>
    <t>Line 45 x Line 456</t>
  </si>
  <si>
    <t>((48) + (49)) * (50)</t>
  </si>
  <si>
    <t>(42)+(43)+(44)+(47)+(51)</t>
  </si>
  <si>
    <t>(58) * (59)</t>
  </si>
  <si>
    <t>Sum (63) Thru (65)</t>
  </si>
  <si>
    <t>Income Tax Expense Credits</t>
  </si>
  <si>
    <t>Sum (69) Thru (71)</t>
  </si>
  <si>
    <t>Total Income Tax Expense Credits</t>
  </si>
  <si>
    <t>Allocated Income Tax Expense Credits</t>
  </si>
  <si>
    <t>Less Minimum Pension Liability</t>
  </si>
  <si>
    <t>Less Account 107 Related Deferred Income Taxes</t>
  </si>
  <si>
    <t>Total ADIT (Account 282)</t>
  </si>
  <si>
    <t>(((ROR-Wtd.LTD) + [(EqAFUDC + ITEC) / RateBase] + Federal Income Tax Rate) * (ST)) / (1-ST)</t>
  </si>
  <si>
    <t>(((ROR-Wtd.LTD) + [(EqAFUDC + ITEC) / RateBase]) * (FT)) / (1-FT)</t>
  </si>
  <si>
    <t>Income Tax Expense Credits (ITEC) =</t>
  </si>
  <si>
    <t>Total A&amp;G Related O&amp;M (Less EPRI dues and donations and memberships associated with corporate stewardship or civic organizations)</t>
  </si>
  <si>
    <t>7/1/2019 - 7/1/2024</t>
  </si>
  <si>
    <t>1/1/2019 - 1/1/2024</t>
  </si>
  <si>
    <t>7/1/2019 - 1/1/2024</t>
  </si>
  <si>
    <t>5/01/2020 - 5/01/2025</t>
  </si>
  <si>
    <t>7/01/2020 - 7/01/2025</t>
  </si>
  <si>
    <t>PTP Reservations</t>
  </si>
  <si>
    <t>Long-Term Firm</t>
  </si>
  <si>
    <t>Depreciation     Jan 1 - Dec 31</t>
  </si>
  <si>
    <t>Depreciation   Jan 1 - Dec 31</t>
  </si>
  <si>
    <t>Cindy Fine</t>
  </si>
  <si>
    <t>JR Pallesen</t>
  </si>
  <si>
    <t>McFarland - Stella Jones</t>
  </si>
  <si>
    <t>Stephen Darcy</t>
  </si>
  <si>
    <t>Steven Sharp</t>
  </si>
  <si>
    <t>Tamarack Investment Group</t>
  </si>
  <si>
    <t>US Air Force</t>
  </si>
  <si>
    <t>DATE</t>
  </si>
  <si>
    <t>Verizon (Small Cell)</t>
  </si>
  <si>
    <t>Intermountain Gas</t>
  </si>
  <si>
    <t>Mobilite</t>
  </si>
  <si>
    <t>State of ID Public Broadcasting</t>
  </si>
  <si>
    <t>FF1 p232</t>
  </si>
  <si>
    <t>ARAM</t>
  </si>
  <si>
    <t xml:space="preserve">FERC Order No. 864 Permanent Worksheet for Excess Deferred Income Taxes </t>
  </si>
  <si>
    <t>Summary of Accumulated Deferred Income Taxes (ADIT) (1)</t>
  </si>
  <si>
    <t>Total ADIT</t>
  </si>
  <si>
    <t>EDIT Activity Analysis</t>
  </si>
  <si>
    <t>Balance</t>
  </si>
  <si>
    <t>Schedule 1 Workpaper, page 1</t>
  </si>
  <si>
    <t>Schedule 1 Workpaper, page 2</t>
  </si>
  <si>
    <t>Beginning Balance</t>
  </si>
  <si>
    <t>SCHEDULE 1 WORKPAPER 1</t>
  </si>
  <si>
    <t>SCHEDULE 1 WORKPAPER 2</t>
  </si>
  <si>
    <t>Special Contract with United States Department of Energy effective April 1, 2020</t>
  </si>
  <si>
    <t>US Department of Energy Special Contract</t>
  </si>
  <si>
    <t>Reimbursement for O&amp;M charge under the asset exchange joint ownership and operating agreement with Pacificorp. To Schedule 4, line 8</t>
  </si>
  <si>
    <t>Reimbursement for O&amp;M charge under the Special Contract with the US DOE. To Schedule 4, line 7</t>
  </si>
  <si>
    <t>Dan Forsea (Upper/Lower Pastures)</t>
  </si>
  <si>
    <t>Guthrie</t>
  </si>
  <si>
    <t>Kittleson</t>
  </si>
  <si>
    <t>Rock Creek Celebration Center</t>
  </si>
  <si>
    <t>Vanderwalker</t>
  </si>
  <si>
    <t>WilTel Comm - Prj T Lines (Level 3)</t>
  </si>
  <si>
    <t>Wylee Aquiso</t>
  </si>
  <si>
    <t>44 Cattle/Deven Thompson</t>
  </si>
  <si>
    <t>Kirk Adkins</t>
  </si>
  <si>
    <t>Oliver Schroeder</t>
  </si>
  <si>
    <t>Kim Braun</t>
  </si>
  <si>
    <t>T-Mobile Crown Castle</t>
  </si>
  <si>
    <t>Brookfield Renewable Trading &amp; Marketing</t>
  </si>
  <si>
    <t>EDF Trading North America, LLC</t>
  </si>
  <si>
    <t>Guzman Energy Group LLC</t>
  </si>
  <si>
    <t>Mercuria Energy America, LLC</t>
  </si>
  <si>
    <t>Shell Energy North America (US), L.P.</t>
  </si>
  <si>
    <t>Tenaska Power Services</t>
  </si>
  <si>
    <t>Vitol Inc.</t>
  </si>
  <si>
    <t>((53) + (54)) * 12.5%</t>
  </si>
  <si>
    <t>FF1 p214</t>
  </si>
  <si>
    <t>FF1 p227 11c</t>
  </si>
  <si>
    <t>FF1 p227 8c</t>
  </si>
  <si>
    <t>TRANSMISSION COST OF SERVICE RATE DEVELOPMENT</t>
  </si>
  <si>
    <t>FF1 pp266-267 8f</t>
  </si>
  <si>
    <t>FF1 pp274-275 Footnote Data Excess Deferred Tax on Depreciation Credit (j)</t>
  </si>
  <si>
    <t xml:space="preserve"> FF1 pp350-351</t>
  </si>
  <si>
    <t>FF1 pp350-351  2h + 3h</t>
  </si>
  <si>
    <t xml:space="preserve"> FF1 pp320-323 185 b</t>
  </si>
  <si>
    <t xml:space="preserve"> - FF1 pp320-323 191 b</t>
  </si>
  <si>
    <t xml:space="preserve"> - FF1 pp320-323 189 b</t>
  </si>
  <si>
    <t xml:space="preserve"> - FF1 pp320-323 185 b</t>
  </si>
  <si>
    <t>FF1 pp276-277 9k</t>
  </si>
  <si>
    <t xml:space="preserve">FF1 pp204-207 99g - 98g </t>
  </si>
  <si>
    <t>FF1 pp204-207 5g</t>
  </si>
  <si>
    <t>FF1 pp200-201 21c</t>
  </si>
  <si>
    <t>FF1 pp110-111 57c</t>
  </si>
  <si>
    <t>FF1 p227 16c</t>
  </si>
  <si>
    <t>FF1 p219 28c less 108.100 =0</t>
  </si>
  <si>
    <t>FF1 p219 25(b) less 108.100 = 0</t>
  </si>
  <si>
    <t>FF1 pp336-337 10f</t>
  </si>
  <si>
    <t>FF1 p336 1f</t>
  </si>
  <si>
    <t xml:space="preserve">FF1 p336 7f </t>
  </si>
  <si>
    <t>FF1 pp204-207 104g less 15g, 24g ,34g, 44g, 57g, 74g, 83g, 98g</t>
  </si>
  <si>
    <t>FF1 pp354-355 21b</t>
  </si>
  <si>
    <t>FF1 pp354-355 27b</t>
  </si>
  <si>
    <t>FF1 pp354-355 28b</t>
  </si>
  <si>
    <t xml:space="preserve">(1) The revenue credits associated with Idaho Power Company are not included in the Account 456 balance but are </t>
  </si>
  <si>
    <t>The transmission related amount of Rent From Electric Property included in Account 454 is:</t>
  </si>
  <si>
    <t>OATT Short Term Firm and Non Firm</t>
  </si>
  <si>
    <t>(1) (2)</t>
  </si>
  <si>
    <t>7/1/2021-7/1/2026</t>
  </si>
  <si>
    <t>1/1/2021-1/1/2026</t>
  </si>
  <si>
    <t>01/01/2021-01/01/2026</t>
  </si>
  <si>
    <t>VTOL</t>
  </si>
  <si>
    <t>MDSK-M345</t>
  </si>
  <si>
    <t>PWX</t>
  </si>
  <si>
    <t>04/01/2021- 04/01/2024</t>
  </si>
  <si>
    <t>10/01/2021- 10/01/2026</t>
  </si>
  <si>
    <t>LOLO-BORA</t>
  </si>
  <si>
    <t>JEFF-BORA</t>
  </si>
  <si>
    <t>(1) Does not Include Short Term Firm PTP Reservations reported on Column (i), page 400 of the Form 1.</t>
  </si>
  <si>
    <t>Long Term Debt</t>
  </si>
  <si>
    <t>(1) Excludes Other Long-Term Debt.  Other Long-Term Debt includes the American Falls Dam Bond and Milner Dam Note guarantees. These instruments are excluded in rate making calculations and therefore are omitted from this schedule.</t>
  </si>
  <si>
    <t>(2)  FF1 p112 18c</t>
  </si>
  <si>
    <t>FF1 pp112-113 3c</t>
  </si>
  <si>
    <t>FF1  pp112-113 16c</t>
  </si>
  <si>
    <t xml:space="preserve">Brownlee Power Plant </t>
  </si>
  <si>
    <t xml:space="preserve">Hells Canyon Power Plant </t>
  </si>
  <si>
    <t>Amortized Excess ADIT (Account 411.1)</t>
  </si>
  <si>
    <t>Alt Method</t>
  </si>
  <si>
    <t>FF1 pp204-207 58g</t>
  </si>
  <si>
    <t>FF1 pp204-207 75g</t>
  </si>
  <si>
    <t>(1) Interest expense reimbursed is a component of FERC Account 431 - Other Interest Expense.  Idaho Power queries Account 431 to determine interest amounts associated with network upgrade customer payments to be reported on Schedule 9.</t>
  </si>
  <si>
    <t>V.  Interest Expense Reimbursed</t>
  </si>
  <si>
    <t>FF1 p234 Footnote Data Line 7</t>
  </si>
  <si>
    <t>FF1 pp274-275 2k</t>
  </si>
  <si>
    <t>FF1 pp274-275 Footnote Data Line 2 Account 254967 balance</t>
  </si>
  <si>
    <t>FF1 pp274-275 Footnote Data Line 2: 4013+4021+8059+8072</t>
  </si>
  <si>
    <t xml:space="preserve">Idaho </t>
  </si>
  <si>
    <t>Valmy</t>
  </si>
  <si>
    <t>Production</t>
  </si>
  <si>
    <t>Total Ad Valorem Taxes</t>
  </si>
  <si>
    <t xml:space="preserve">     Total Steam</t>
  </si>
  <si>
    <t xml:space="preserve">     Total Other</t>
  </si>
  <si>
    <t>Revenues From Transmission For Others (Account 456)</t>
  </si>
  <si>
    <t>Steam Electric Plants</t>
  </si>
  <si>
    <t xml:space="preserve">Property Taxes Directly Assigned </t>
  </si>
  <si>
    <t>Benson Creek Windfarm, LLC</t>
  </si>
  <si>
    <t>ConocoPhillips Company</t>
  </si>
  <si>
    <t>Durbin Creek Windfarm, LLC</t>
  </si>
  <si>
    <t>Dynasty Power Inc.</t>
  </si>
  <si>
    <t>Jett Creek Windfarm, LLC</t>
  </si>
  <si>
    <t>Lime Wind LLC</t>
  </si>
  <si>
    <t>Prospector Windfarm, LLC</t>
  </si>
  <si>
    <t>Rockland Wind Farm, LLC</t>
  </si>
  <si>
    <t>(1) The revenue credits associated with Idaho Power Company short term firm and non firm are not included in the Account 456 balance but are</t>
  </si>
  <si>
    <t>Century Link-Gem State &amp; Lemhi</t>
  </si>
  <si>
    <t>Ziply (formerly Frontier)</t>
  </si>
  <si>
    <t>TDS Metrocom</t>
  </si>
  <si>
    <t>Sparklight-Blackfoot</t>
  </si>
  <si>
    <t>Sparklight-Boise</t>
  </si>
  <si>
    <t>Sparklight-Pocatello</t>
  </si>
  <si>
    <t>Sparklight-Twin Falls</t>
  </si>
  <si>
    <t>Sparklight-West Valley</t>
  </si>
  <si>
    <t>Syringa</t>
  </si>
  <si>
    <t>AT&amp;T (Cricket)</t>
  </si>
  <si>
    <t>Application fees recorded in Accounts 415101 &amp; 415102</t>
  </si>
  <si>
    <t>Loss on grounding shield wire in Account 456101</t>
  </si>
  <si>
    <t>Aaron &amp; Diana Adams</t>
  </si>
  <si>
    <t>Marlin Mussmann Hunt Sub Prj</t>
  </si>
  <si>
    <t>Northwest Pipeline</t>
  </si>
  <si>
    <t>Oxbow -USPS Western Facilities</t>
  </si>
  <si>
    <t>Thomas McKim</t>
  </si>
  <si>
    <t>Lloyd Wilson</t>
  </si>
  <si>
    <t>Colyer Cattle</t>
  </si>
  <si>
    <t>Steve Landers</t>
  </si>
  <si>
    <t>Britny Damron</t>
  </si>
  <si>
    <t>Travis Derley</t>
  </si>
  <si>
    <t>Mike &amp; Sarita Raney</t>
  </si>
  <si>
    <t>Snake River PCS - Hells Canyon</t>
  </si>
  <si>
    <t>Snake River PCS - Ladd Canyon</t>
  </si>
  <si>
    <t>Snake River PCS - Lynes Point</t>
  </si>
  <si>
    <t>Snake River PCS - Oxbow</t>
  </si>
  <si>
    <t>Alex Russo</t>
  </si>
  <si>
    <t>Lanny Fujishin</t>
  </si>
  <si>
    <t>Treasure Valley Honey &amp; Bees Corp</t>
  </si>
  <si>
    <t>(1) Joint Use Application Fees are recorded in accounts 415101 and 415102</t>
  </si>
  <si>
    <t>Service for Self (1)</t>
  </si>
  <si>
    <t xml:space="preserve">(1) Firm Network Service For Self reported in the Form 1, page 400, column (e) is computed as column (b) minus (f) minus (g) minus (i).  In the Form 1, column (b) excludes Short Term Firm Point to Point Reservations (column I in the Form 1).  For purposes of computing the load divisor for the OATT, Firm Network Service For Self is the Total Schedule 5 (D) minus Firm Network Service For Others minus Long Term Firm PTP Reservations.  </t>
  </si>
  <si>
    <t>SCHEDULE 2 WORKPAPER, PAGE 4</t>
  </si>
  <si>
    <t>Schedule 2 Workpaper, page 4</t>
  </si>
  <si>
    <t>Idaho Power Company Informational Filing For Rates Effective October 1, 2023 through September 30, 2024</t>
  </si>
  <si>
    <t>FF1 p330 4n x 35%</t>
  </si>
  <si>
    <t>Using 2022 PBOP</t>
  </si>
  <si>
    <t>FF1 p278 22f</t>
  </si>
  <si>
    <t>FF1 p278 23f</t>
  </si>
  <si>
    <t>98133380 (Full transfer of TSR 92487896)</t>
  </si>
  <si>
    <t>MDSK-M346</t>
  </si>
  <si>
    <t>AMPE</t>
  </si>
  <si>
    <t>04/01/2022- 04/01/2024</t>
  </si>
  <si>
    <t>AmpRenew Offtake I LLC</t>
  </si>
  <si>
    <t>CP Energy Marketing (US) Inc.</t>
  </si>
  <si>
    <t>Grove Solar Center, LLC</t>
  </si>
  <si>
    <t>Idaho Wind Partners 1, LLC (Camp Reed Wind Park)</t>
  </si>
  <si>
    <t>Idaho Wind Partners 1, LLC (Oregon Trail Wind Park)</t>
  </si>
  <si>
    <t>Idaho Wind Partners 1, LLC (Payne's Ferry Wind Park)</t>
  </si>
  <si>
    <t>Idaho Wind Partners 1, LLC (Thousand Springs Wind Park)</t>
  </si>
  <si>
    <t>Idaho Wind Partners 1, LLC (Tuana Gulch Wind Park)</t>
  </si>
  <si>
    <t>Idaho Wind Partners 1, LLC (Yahoo Creek Wind Park)</t>
  </si>
  <si>
    <t>Puget Sound Energy</t>
  </si>
  <si>
    <t>Thunderegg Solar Center, LLC</t>
  </si>
  <si>
    <t>Reed Markham</t>
  </si>
  <si>
    <t>Stinker Stores, Inc.</t>
  </si>
  <si>
    <t>Verizon Wireless</t>
  </si>
  <si>
    <t>Motive Power</t>
  </si>
  <si>
    <t>Brig Steele</t>
  </si>
  <si>
    <t>Neil Nelson</t>
  </si>
  <si>
    <t>Phillips Brothers Cattle Co.</t>
  </si>
  <si>
    <t>Farmer's Mutual</t>
  </si>
  <si>
    <t>Boise State University</t>
  </si>
  <si>
    <t>June 1, 2017 - Dec 31, 2021 Rates</t>
  </si>
  <si>
    <t>Post Dec 31, 2021 Rates</t>
  </si>
  <si>
    <t xml:space="preserve">  1.90% Series due 2048…</t>
  </si>
  <si>
    <t xml:space="preserve">  4.99% Series due 2032…</t>
  </si>
  <si>
    <t xml:space="preserve">  5.06% Series due 2042…</t>
  </si>
  <si>
    <t>FF1 pp262-263 28l</t>
  </si>
  <si>
    <t>FF1 pp262-263 32i</t>
  </si>
  <si>
    <t>Disclosure of Any Accounting Changes That Could Affect</t>
  </si>
  <si>
    <t>N/A</t>
  </si>
  <si>
    <t>Explain the methodologies used to allocate and directly assign costs between Idaho Power and its affiliates by service category or function, including any changes to such cost allocation methodologies, and the reasons and justification for those changes; and the magnitude of such costs that have been allocated or directly assigned between Idaho Power and each affiliate by service category or function for the applicable period.</t>
  </si>
  <si>
    <t>Direct Assignment of Costs between Idaho Power and its Affiliates</t>
  </si>
  <si>
    <t>FOR THE TWELVE MONTHS ENDED DECEMBER 31, 2023</t>
  </si>
  <si>
    <t>FOR RATES EFFECTIVE OCTOBER 1, 2024 - SEPTEMBER 30, 2025</t>
  </si>
  <si>
    <t>Altop Energy Trading, LLC</t>
  </si>
  <si>
    <t>American Falls Solar II, LLC</t>
  </si>
  <si>
    <t>American Falls Solar, LLC</t>
  </si>
  <si>
    <t>Basin Electric Power Cooperative</t>
  </si>
  <si>
    <t>BP Energy Company</t>
  </si>
  <si>
    <t>Calpine Energy Services, L.P.</t>
  </si>
  <si>
    <t>Macquarie Energy, LLC</t>
  </si>
  <si>
    <t>Milner Dam Wind Park, LLC</t>
  </si>
  <si>
    <t>Morgan Stanley Capital Group, Inc.</t>
  </si>
  <si>
    <t>PacifiCorp</t>
  </si>
  <si>
    <t>Phillips 66 Energy Trading LLC</t>
  </si>
  <si>
    <t>Powerex Corp.</t>
  </si>
  <si>
    <t>Rainbow Energy Marketing Corporation</t>
  </si>
  <si>
    <t>Riley Solar I</t>
  </si>
  <si>
    <t>SociVolta, Inc.</t>
  </si>
  <si>
    <t>Starvation Solar I, LLC</t>
  </si>
  <si>
    <t>Suntex Solar, LLC</t>
  </si>
  <si>
    <t>TEC Energy Inc.</t>
  </si>
  <si>
    <t>TransAlta Energy Marketing (US) Inc.</t>
  </si>
  <si>
    <t>West Hines Solar, LLC</t>
  </si>
  <si>
    <t>Willow Springs Windfarm, LLC</t>
  </si>
  <si>
    <t xml:space="preserve">  5.06% Series due 2043…</t>
  </si>
  <si>
    <t xml:space="preserve">  5.20% Series due 2053…</t>
  </si>
  <si>
    <t xml:space="preserve">  5.50% Series due 2053…</t>
  </si>
  <si>
    <t xml:space="preserve">  5.80% Series due 2054…</t>
  </si>
  <si>
    <t>Rate Effective</t>
  </si>
  <si>
    <t>Current Year</t>
  </si>
  <si>
    <t>ELMR -INSTALL 138KV-PCBS AT 10</t>
  </si>
  <si>
    <t>T339220001 - PRIORITY 2 SALMON</t>
  </si>
  <si>
    <t>T226170001 PHASE 2 REPAIR VALE</t>
  </si>
  <si>
    <t>T426190001-STRUCTURAL WORK AT</t>
  </si>
  <si>
    <t>BRDY210001 - REPLACE 205A BREA</t>
  </si>
  <si>
    <t>VARI190004 - BORA RETROFIT</t>
  </si>
  <si>
    <t>B2H - NORTH POWDER (AKA MIDLIN</t>
  </si>
  <si>
    <t>T251190001 CALDWELL-HOMEDALE 6</t>
  </si>
  <si>
    <t>T226170001 TRANSMISSION LINE R</t>
  </si>
  <si>
    <t>RELC2203 - MIDLAND &amp; IOWA RAB</t>
  </si>
  <si>
    <t>T426190001-MNCO TO HYBN LINE S</t>
  </si>
  <si>
    <t>GINT220573-300MW MOON CRATER S</t>
  </si>
  <si>
    <t>WDRI170001 REPLACE KING LINE R</t>
  </si>
  <si>
    <t>HGSN170001 REPLACE 054A, 053A,</t>
  </si>
  <si>
    <t>HMWY 80MW ENERGY STORAGE PROJE</t>
  </si>
  <si>
    <t>REPLACE 103A AND 103B WITH NEW</t>
  </si>
  <si>
    <t>BOBN200005 - STATION PERIMETER</t>
  </si>
  <si>
    <t>DALE220001 - BOVARIUS - IPC CO</t>
  </si>
  <si>
    <t>PURCHASE STATION LAND TO EXPAN</t>
  </si>
  <si>
    <t>T432230001 - FIX PRIORITY 2 DE</t>
  </si>
  <si>
    <t>T118 10-YEAR INSPECTION REPAIR</t>
  </si>
  <si>
    <t>T250 10-YEAR INSPECTION, HORSE</t>
  </si>
  <si>
    <t>T163190001 - T163 BLACKFOOT-LA</t>
  </si>
  <si>
    <t>LINE 108, FILERJCT.-FILER-AMST</t>
  </si>
  <si>
    <t>T731210001 BOMT-HBRD 230KV EAS</t>
  </si>
  <si>
    <t>T60219001  LINE 602 DONN-GOSHE</t>
  </si>
  <si>
    <t>T426190001-AMALGAMATED SUGAR R</t>
  </si>
  <si>
    <t>T426 KING-DALE-HUNT-ADELAIDE-L</t>
  </si>
  <si>
    <t>ETGT190002 - BRING CLIF-HTSU R</t>
  </si>
  <si>
    <t>T236150001 CMBG-CNCL 69KV REBU</t>
  </si>
  <si>
    <t>T328200003-10YR MAINT-PHASE 1,</t>
  </si>
  <si>
    <t>MTUR180001-RECONFIGURE MTUR SU</t>
  </si>
  <si>
    <t>WELS180001 - REPAIR OR REPLACE</t>
  </si>
  <si>
    <t>VARI190001 ETHERNET SWITCH REP</t>
  </si>
  <si>
    <t>27557547</t>
  </si>
  <si>
    <t>27603678</t>
  </si>
  <si>
    <t>27543661</t>
  </si>
  <si>
    <t>27589230</t>
  </si>
  <si>
    <t>27501094</t>
  </si>
  <si>
    <t>27586155</t>
  </si>
  <si>
    <t>27594533</t>
  </si>
  <si>
    <t>27593983</t>
  </si>
  <si>
    <t>27562361</t>
  </si>
  <si>
    <t>27565039</t>
  </si>
  <si>
    <t>27622744</t>
  </si>
  <si>
    <t>27528254</t>
  </si>
  <si>
    <t>27577498</t>
  </si>
  <si>
    <t>27530234</t>
  </si>
  <si>
    <t>27627557</t>
  </si>
  <si>
    <t>Schedule 1 Workpaper, page 3</t>
  </si>
  <si>
    <t>FERC Order No. XXX Permanent Worksheet for Deficient and Excess Deferred Income Taxes</t>
  </si>
  <si>
    <t>FERC Order No. 864 Permanent Worksheet for Deficient and Excess Deferred Income Taxes</t>
  </si>
  <si>
    <t>Less Regulatory Asset for Deficient Deferred Income Taxes (DDIT)</t>
  </si>
  <si>
    <t>Plus Regulatory Liability for Excess Deferred Income Tax (EDIT)</t>
  </si>
  <si>
    <t>(1)  The Account 282 balance on line 8 includes an adjustment for the establishment of the EDIT regulatory liability pursuant to the change in the corporate tax rate as a result of the Tax Cuts and Jobs Act (TCJA).  The regulatory liability was a result of the remeasurement of ADIT previously recorded in Account 282.  As can be seen on Schedule 2, beginning in 2018 the EDIT balance began reversing as required by the Internal Revenue Code.  The total Account 282 balance on line 12 properly reflects the rate base offset associated with the combined ADIT and EDIT balances.</t>
  </si>
  <si>
    <t>Accumulated Deferred Income Tax (ADIT) Adjustments</t>
  </si>
  <si>
    <t>Change</t>
  </si>
  <si>
    <t xml:space="preserve">12/31/2017 Amount </t>
  </si>
  <si>
    <t>Balance Sheet-related</t>
  </si>
  <si>
    <t>Income Statement-related</t>
  </si>
  <si>
    <t>Remeasurement Amount</t>
  </si>
  <si>
    <t>Pre-Change     Tax Rate</t>
  </si>
  <si>
    <t>Post-Change     Tax Rate</t>
  </si>
  <si>
    <t>DDIT (Account 182.3)</t>
  </si>
  <si>
    <t>EDIT (Account 254)</t>
  </si>
  <si>
    <t>Summary of Deficient Deferred Income Taxes (DDIT) and Excess Deferred Income Taxes (EDIT)</t>
  </si>
  <si>
    <t>Other Regulatory Assets (for DDIT)</t>
  </si>
  <si>
    <t>Other Regulatory Liabilities (for EDIT)</t>
  </si>
  <si>
    <t>Income Tax Gross-Up (DDIT-related)</t>
  </si>
  <si>
    <t>Income Tax Gross-Up (EDIT-related)</t>
  </si>
  <si>
    <t>Net EDIT/DDIT-related Regulatory Asset (Liability)</t>
  </si>
  <si>
    <t xml:space="preserve"> (1)/(2)</t>
  </si>
  <si>
    <t>DDIT Activity Analysis</t>
  </si>
  <si>
    <t>Amortization</t>
  </si>
  <si>
    <t>Protected</t>
  </si>
  <si>
    <t>Unprotected</t>
  </si>
  <si>
    <t>Period (4)</t>
  </si>
  <si>
    <t>Account 410.1 (3)</t>
  </si>
  <si>
    <t>Period (5)</t>
  </si>
  <si>
    <t>Account 411.1 (3)</t>
  </si>
  <si>
    <t>(1)  Idaho Power's accumulated deferred income taxes (ADIT) accounts (190, 282, 283) and income tax-related regulatory assets and liability accounts (182.3 and 254) were adjusted for the impact of the federal corporate tax rate change enacted in 2017 as part of the Tax Cuts and Jobs Act (TCJA).  ADIT accounts were remeasured by first recalculating deferred income tax balances by applying the new 21% statutory corporate tax rate to existing temporary differences.  The remeasured balances were then compared to the deferred income tax balances on Idaho Power's books prior to the TCJA.  The difference in the balances resulted in EDIT (254 account) and no DDIT (182.3 account). This remeasurement process would be used for any future federal or state tax rate changes.</t>
  </si>
  <si>
    <t>(2)  All of Idaho Power's EDIT are protected.  Unprotected temporary differences were primarily subject to Idaho Power's flow-through regulatory income tax accounting method which does not provide for the accrual of deferred income taxes and, therefore, would not generate DDIT or EDIT amounts.</t>
  </si>
  <si>
    <t>(3)  Income Tax Gross-Ups are not included in Idaho Power's rate base or amortization amounts.</t>
  </si>
  <si>
    <t>(4)  Idaho Power's ADIT remeasurement caused by the TCJA did not result in any material net protected DDIT or unprotected DDIT and EDIT.  Accordingly, it was unncessary for Idaho Power to establish amortization periods for these items.  If and when future federal or state tax rate changes occur that require ADIT remeasurement, Idaho Power will determine the appropriate amortization periods by taking into account applicable tax statutes, accounting principles, the underlying nature of the affected book-tax temporary differences, and any guidance or orders issued by its regulators.</t>
  </si>
  <si>
    <t>(5)  Idaho Power’s protected EDIT for depreciation-related temporary differences on its public utility property is subject to the normalization method of accounting.  As provided in the TCJA statute, the normalization method requires the use of either the average rate assumption method (ARAM) or the alternative method for the reversal of the EDIT. For fiscal years 2018-2019, the ARAM method was used to reverse the EDIT.</t>
  </si>
  <si>
    <t>SCHEDULE 1 WORKPAPER, PAGE 3</t>
  </si>
  <si>
    <t xml:space="preserve">Pre-Tax Rate Change Amount </t>
  </si>
  <si>
    <t>(1)  Idaho Power's ADIT accounts (190, 282, 283) are remeasured by first recalculating deferred income tax balances by applying the new XX% statutory corporate tax rate to existing temporary differences.  The remeasured balances are then compared to the deferred income tax balances on Idaho Power's books prior to the XXXX.  The difference in the balances would result in either EDIT (254 account) and/or DDIT (182.3 account). This remeasurement process would be used for any future federal or state tax rate changes.</t>
  </si>
  <si>
    <t>(2)  All of Idaho Power's EDIT from any future tax rate changes are likely to be protected.  Unprotected temporary differences were primarily subject to Idaho Power's flow-through regulatory income tax accounting method which does not provide for the accrual of deferred income taxes and, therefore, would not generate DDIT or EDIT amounts.</t>
  </si>
  <si>
    <t>(4)   If and when future federal or state tax rate changes occur that require ADIT remeasurement, Idaho Power will determine the appropriate amortization periods by taking into account applicable tax statutes, accounting principles, the underlying nature of the affected book-tax temporary differences, and any guidance or orders issued by its regulators.</t>
  </si>
  <si>
    <t xml:space="preserve">(5)  Idaho Power’s protected EDIT for depreciation-related temporary differences on its public utility property is subject to the normalization method of accounting.  As provided in the federal XXXX statute, the normalization method requires the use of either the average rate assumption method (ARAM) or the alternative method for the reversal of the EDIT.  </t>
  </si>
  <si>
    <t>Monthly Land Lease</t>
  </si>
  <si>
    <t>Annual Land Lease</t>
  </si>
  <si>
    <t>Oneida Farms</t>
  </si>
  <si>
    <t>Mcalvain Companies</t>
  </si>
  <si>
    <t>Tmobile</t>
  </si>
  <si>
    <t>Boise Fire Department</t>
  </si>
  <si>
    <t>Arriola Farms, LLC</t>
  </si>
  <si>
    <t>Corning Ranch, LLC</t>
  </si>
  <si>
    <t>Rena Simpson</t>
  </si>
  <si>
    <t>A. Ross</t>
  </si>
  <si>
    <t>Annual Land Lease-Adj</t>
  </si>
  <si>
    <t>Dan and Sheryl Blankenship</t>
  </si>
  <si>
    <t>Paul &amp; Harriet Calverley</t>
  </si>
  <si>
    <t>Matt Murphy</t>
  </si>
  <si>
    <t>Sagen Howard</t>
  </si>
  <si>
    <t>Monthly Land Lease-Adj</t>
  </si>
  <si>
    <t>Shawpatin AgCap, LLC</t>
  </si>
  <si>
    <t>USDA Wallowa Whitman Forest</t>
  </si>
  <si>
    <t>-Use 2023 formula rate as the base</t>
  </si>
  <si>
    <t>-Substitute 2022 PBOPs for 2023 PBOPs in the 2023 formula rate</t>
  </si>
  <si>
    <t>2023 Amount in Account 926</t>
  </si>
  <si>
    <t>Less 2022 Amount in Account 926</t>
  </si>
  <si>
    <t>Using 2023 PBOP</t>
  </si>
  <si>
    <t>2023 Monthly Rate minus 2023 Monthly Rate using 2022 PBOP</t>
  </si>
  <si>
    <t>454111 &amp; 454112 - G/L balance 12/31/23</t>
  </si>
  <si>
    <t>Total Fees for 2023</t>
  </si>
  <si>
    <t>FF1 pp320-323 197 b - ($115,733 for 2023)</t>
  </si>
  <si>
    <t>FF1 pp320-323 112b - (0)</t>
  </si>
  <si>
    <t>FF1  pp204-207 58(g) - 57(g)</t>
  </si>
  <si>
    <t>FF1 p214 2d + 3d+ 4d + 11d + 12d+ 17d+ 22d</t>
  </si>
  <si>
    <t>FF1 pp320-323  85b to 92b</t>
  </si>
  <si>
    <t>FF1 pp320-323  96b</t>
  </si>
  <si>
    <t>Antenna Building Attachment / Other</t>
  </si>
  <si>
    <t>Distribution ROW</t>
  </si>
  <si>
    <t xml:space="preserve">(1) With Order No. 34349, the Idaho Public Utilities Commission approved an accelerated end-of-life of 2025 for Valmy Unit 2. To ensure Valmy Unit 2 investments are fully depreciated by December 31, 2025, the Company evaluates the deprecation rates associated with Valmy every 6 months and adjusts as necessary. For Account 352, the Valmy Unit 2 depreciation rate chnaged from 3.12% in 2022 to 3.13% in 2023. Therefore the Accumulated Depreciation calculation in column T was adjusted to reflect the differing depreciation rates between the years. </t>
  </si>
  <si>
    <t xml:space="preserve">Upgrades at Minico Substation to accommodate the T426 line rebuild from Heyburn to Heyburn Junction with larger conductor </t>
  </si>
  <si>
    <t xml:space="preserve">Addition of high-security fence at Boise Bench Substation </t>
  </si>
  <si>
    <t xml:space="preserve">Rebuild the Wood River Substation to a Ring Bus, upgrading control and protection equipment and improving operational resiliency </t>
  </si>
  <si>
    <t xml:space="preserve">Addition of new 34.5V terminal at Hemingway Substation to accommodate Generation Interconnect Agreement </t>
  </si>
  <si>
    <t>Capitalized maintenance on the DALE-HUNT-ADEL-American Falls 138-kV transmission line</t>
  </si>
  <si>
    <t xml:space="preserve">Replacement of 138-kV line segment from Minco to Hayburn Substation </t>
  </si>
  <si>
    <t xml:space="preserve">Replacement of multiple 46-kV breakers and associated protection equipment at Hagerman Substation </t>
  </si>
  <si>
    <t>Addition of new transformer and 34.5-kV feeder bay at Dale substation</t>
  </si>
  <si>
    <t xml:space="preserve">Addition of new 345-kV line terminal at BORA substation to accommodate Generation Interconnect Agreement </t>
  </si>
  <si>
    <t>Capitalized maintenance on the DONN to Goshen 161-kV transmission line</t>
  </si>
  <si>
    <t xml:space="preserve">Replacement of two manual switches with two 138-kV power circuit breakers and associated control and protection equipment at Elmore Substation </t>
  </si>
  <si>
    <t>Purchase of easements for addition of 230-kV transmission line between BOMT and HBRD Substations</t>
  </si>
  <si>
    <t xml:space="preserve">Replacement of communications ethernet switch at Boise Bench Substation </t>
  </si>
  <si>
    <t>Capitalized maintenance on the Upper Salmon to Wells 138-kV transmission line</t>
  </si>
  <si>
    <t xml:space="preserve">Relocation of section of Chestnut Tap to Chestnut 138-kV line to accommodate road project </t>
  </si>
  <si>
    <t xml:space="preserve">Replace microwave communication equipment with next generation microwave equipment at BORA Substation </t>
  </si>
  <si>
    <t xml:space="preserve">Replacement of one 230-kV breaker at Brady Substation </t>
  </si>
  <si>
    <t xml:space="preserve">Replacement of 138-kV protection equipment at Eastgate Substation </t>
  </si>
  <si>
    <t xml:space="preserve">Replacement of two switches with one 138-kV power circuit breaker and one airbreak </t>
  </si>
  <si>
    <t xml:space="preserve">Addition of additional land for Blackfoot Substation expansion </t>
  </si>
  <si>
    <t>Relocation of section of the T426 138-kV line per customer request. A portion of the cost was paid by Idaho Power as the Company was planning to rebuild</t>
  </si>
  <si>
    <t>Capitalized maintenance on the Salmon to Blackbird Mine transmission line</t>
  </si>
  <si>
    <t>Capitalized maintenance on the Filer to Amsterdam transmission line</t>
  </si>
  <si>
    <t xml:space="preserve">Capitalized maintenance on the Caldwell to Homedale transmission line </t>
  </si>
  <si>
    <t>Capitalized maintenance on the Horseshoe Bend transmission line</t>
  </si>
  <si>
    <t>Replacement of poles on section of the line between Vale-Juntura-Drewsy</t>
  </si>
  <si>
    <t>Capitalized maintenance on the Blackfoot to Lava transmission line</t>
  </si>
  <si>
    <t>Capitalized maintenance on the Hagerman-Gooding-Shoshone transmission line</t>
  </si>
  <si>
    <t>Right of Way work associated with replacement of poles on section of the line between Vale-Juntura-Drewsy</t>
  </si>
  <si>
    <t xml:space="preserve">Addition of breaker and associated protection equipment at Montour Substation </t>
  </si>
  <si>
    <t xml:space="preserve">Replacement of five switches and bus reconfiguration for operational resiliency at Wells Substation </t>
  </si>
  <si>
    <t xml:space="preserve">Rebuild transmission line Cambridge to Council (multiple phase/work order project) </t>
  </si>
  <si>
    <t>Capitalized maintenance on the Emmett to Warm lake Tap transmission line</t>
  </si>
  <si>
    <t>Midline Station land for Boardman to Hemingway transmission line</t>
  </si>
  <si>
    <t>Hemingway 80 MW Energy Storage</t>
  </si>
  <si>
    <t>BPA-OTEC</t>
  </si>
  <si>
    <t>The September 2023 BPA OTEC load listed on Line 43 of the Schedule 5 tab reported in the Draft Informational Filing was incorrect. The Company has revised the September 2023 BPA OTEC load listed on Line 43 of the Schedule 5 tab to reflect the actual load of 41 MW.</t>
  </si>
  <si>
    <t>27589036</t>
  </si>
  <si>
    <t>(1) The transmission plant amounts inadvertantly included a project that was later reclassified to a distribution plant account. The project, which is also identified on Schedule 10, has been removed from the transmission plant balance.</t>
  </si>
  <si>
    <t>(1) This project was inadvertantly identified as transmission-related project but was later reclassified to a distribution plant account. The project has been removed from the transmission plant balance identified on the Rate Calculation tab.</t>
  </si>
  <si>
    <t>The transmission plant amounts included on the Rate Calculation tab, Line 1, inadvertantly included a project that was later reclassified to a distribution plant account. The project, which is also identified on Schedule 10, has been removed from the transmission plant balance.</t>
  </si>
  <si>
    <t>Others (1)</t>
  </si>
  <si>
    <t>(1) The September 2023 Firm Network Service for Others reported in the FERC Form 1 was incorrect. This amount reflects that actual Sept 2023 Firm Network Service for Others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</si>
</sst>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000_);_(* \(#,##0.00000\);_(* &quot;-&quot;??_);_(@_)"/>
    <numFmt numFmtId="166" formatCode="_(&quot;$&quot;* #,##0_);_(&quot;$&quot;* \(#,##0\);_(&quot;$&quot;* &quot;-&quot;??_);_(@_)"/>
    <numFmt numFmtId="167" formatCode="_(* #,##0.00_);_(* \(#,##0.00\);_(* &quot;-&quot;_);_(@_)"/>
    <numFmt numFmtId="168" formatCode="#,##0.0000_);\(#,##0.0000\)"/>
    <numFmt numFmtId="169" formatCode="0.00000"/>
    <numFmt numFmtId="170" formatCode="_(* #,##0.000000000_);_(* \(#,##0.000000000\);_(* &quot;-&quot;??_);_(@_)"/>
    <numFmt numFmtId="171" formatCode="#,##0.0"/>
    <numFmt numFmtId="172" formatCode="_(* #,##0.0000_);_(* \(#,##0.0000\);_(* &quot;-&quot;_);_(@_)"/>
    <numFmt numFmtId="173" formatCode="_(* #,##0.0000000000_);_(* \(#,##0.0000000000\);_(* &quot;-&quot;??_);_(@_)"/>
    <numFmt numFmtId="174" formatCode="&quot;$&quot;#,##0"/>
    <numFmt numFmtId="175" formatCode="0.000"/>
    <numFmt numFmtId="176" formatCode="&quot;$&quot;#,##0.0_);\(&quot;$&quot;#,##0.0\)"/>
    <numFmt numFmtId="177" formatCode="0.000%"/>
    <numFmt numFmtId="178" formatCode="General_)"/>
    <numFmt numFmtId="179" formatCode="#,##0.0_);\(#,##0.0\)"/>
    <numFmt numFmtId="180" formatCode="0.000_)"/>
    <numFmt numFmtId="181" formatCode="_(* #,##0.0000_);_(* \(#,##0.0000\);_(* &quot;-&quot;??_);_(@_)"/>
    <numFmt numFmtId="182" formatCode="0.0000"/>
    <numFmt numFmtId="183" formatCode="&quot;$&quot;#,##0.00"/>
    <numFmt numFmtId="184" formatCode="m/d/yy"/>
    <numFmt numFmtId="185" formatCode="[$-409]mmmm\ d\,\ yyyy;@"/>
    <numFmt numFmtId="186" formatCode="&quot;$&quot;#,##0.0000"/>
    <numFmt numFmtId="187" formatCode="mm/dd/yy;@"/>
    <numFmt numFmtId="188" formatCode="0_);\(0\)"/>
    <numFmt numFmtId="189" formatCode="_(* #,##0.000_);_(* \(#,##0.000\);_(* &quot;-&quot;??_);_(@_)"/>
    <numFmt numFmtId="190" formatCode="0.0"/>
    <numFmt numFmtId="191" formatCode="_([$€-2]* #,##0.00_);_([$€-2]* \(#,##0.00\);_([$€-2]* &quot;-&quot;??_)"/>
    <numFmt numFmtId="192" formatCode="_(* #,##0.000000000000_);_(* \(#,##0.000000000000\);_(* &quot;-&quot;??_);_(@_)"/>
    <numFmt numFmtId="193" formatCode="_(* #,##0.00000_);_(* \(#,##0.00000\);_(* &quot;-&quot;_);_(@_)"/>
    <numFmt numFmtId="194" formatCode="mmmm\ d\,\ yyyy"/>
    <numFmt numFmtId="195" formatCode="&quot;$&quot;#,##0\ ;\(&quot;$&quot;#,##0\)"/>
    <numFmt numFmtId="196" formatCode="0.00_);\(0.00\)"/>
    <numFmt numFmtId="197" formatCode="#,##0.000"/>
    <numFmt numFmtId="198" formatCode="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u/>
      <sz val="10"/>
      <name val="Arial"/>
      <family val="2"/>
    </font>
    <font>
      <b/>
      <u/>
      <sz val="10"/>
      <name val="Arial"/>
      <family val="2"/>
    </font>
    <font>
      <u val="singleAccounting"/>
      <sz val="10"/>
      <name val="Arial"/>
      <family val="2"/>
    </font>
    <font>
      <sz val="8"/>
      <name val="Arial"/>
      <family val="2"/>
    </font>
    <font>
      <sz val="10"/>
      <name val="Courier"/>
      <family val="3"/>
    </font>
    <font>
      <b/>
      <sz val="10"/>
      <name val="MS Sans Serif"/>
      <family val="2"/>
    </font>
    <font>
      <sz val="10"/>
      <name val="MS Sans Serif"/>
      <family val="2"/>
    </font>
    <font>
      <sz val="8"/>
      <name val="MS Sans Serif"/>
      <family val="2"/>
    </font>
    <font>
      <sz val="10"/>
      <color indexed="10"/>
      <name val="Arial"/>
      <family val="2"/>
    </font>
    <font>
      <sz val="10"/>
      <name val="Arial Unicode MS"/>
      <family val="2"/>
    </font>
    <font>
      <b/>
      <i/>
      <sz val="12"/>
      <name val="Arial"/>
      <family val="2"/>
    </font>
    <font>
      <b/>
      <sz val="12"/>
      <color indexed="10"/>
      <name val="Arial"/>
      <family val="2"/>
    </font>
    <font>
      <b/>
      <i/>
      <sz val="10"/>
      <name val="Arial"/>
      <family val="2"/>
    </font>
    <font>
      <sz val="11"/>
      <color indexed="8"/>
      <name val="Calibri"/>
      <family val="2"/>
    </font>
    <font>
      <sz val="10"/>
      <name val="Arial Unicode MS"/>
      <family val="2"/>
    </font>
    <font>
      <b/>
      <sz val="10"/>
      <name val="Arial Unicode MS"/>
      <family val="2"/>
    </font>
    <font>
      <sz val="11"/>
      <color theme="1"/>
      <name val="Calibri"/>
      <family val="2"/>
      <scheme val="minor"/>
    </font>
    <font>
      <i/>
      <sz val="10"/>
      <name val="Arial"/>
      <family val="2"/>
    </font>
    <font>
      <sz val="10"/>
      <name val="Tahoma"/>
      <family val="2"/>
    </font>
    <font>
      <sz val="10"/>
      <color rgb="FFFF0000"/>
      <name val="Arial"/>
      <family val="2"/>
    </font>
    <font>
      <b/>
      <sz val="12"/>
      <color rgb="FFFF0000"/>
      <name val="Arial"/>
      <family val="2"/>
    </font>
    <font>
      <b/>
      <i/>
      <sz val="12"/>
      <color rgb="FFFF0000"/>
      <name val="Arial"/>
      <family val="2"/>
    </font>
    <font>
      <u/>
      <sz val="10"/>
      <name val="Arial Unicode MS"/>
      <family val="2"/>
    </font>
    <font>
      <b/>
      <sz val="14"/>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indexed="8"/>
      <name val="Cambria"/>
      <family val="2"/>
    </font>
    <font>
      <sz val="10"/>
      <color indexed="9"/>
      <name val="Cambria"/>
      <family val="2"/>
    </font>
    <font>
      <sz val="10"/>
      <color indexed="20"/>
      <name val="Cambria"/>
      <family val="2"/>
    </font>
    <font>
      <b/>
      <sz val="10"/>
      <color indexed="52"/>
      <name val="Cambria"/>
      <family val="2"/>
    </font>
    <font>
      <b/>
      <sz val="10"/>
      <color indexed="9"/>
      <name val="Cambria"/>
      <family val="2"/>
    </font>
    <font>
      <i/>
      <sz val="10"/>
      <color indexed="23"/>
      <name val="Cambria"/>
      <family val="2"/>
    </font>
    <font>
      <sz val="10"/>
      <color indexed="17"/>
      <name val="Cambria"/>
      <family val="2"/>
    </font>
    <font>
      <b/>
      <sz val="15"/>
      <color indexed="56"/>
      <name val="Cambria"/>
      <family val="2"/>
    </font>
    <font>
      <b/>
      <sz val="13"/>
      <color indexed="56"/>
      <name val="Cambria"/>
      <family val="2"/>
    </font>
    <font>
      <b/>
      <sz val="11"/>
      <color indexed="56"/>
      <name val="Cambria"/>
      <family val="2"/>
    </font>
    <font>
      <sz val="10"/>
      <color indexed="62"/>
      <name val="Cambria"/>
      <family val="2"/>
    </font>
    <font>
      <sz val="10"/>
      <color indexed="52"/>
      <name val="Cambria"/>
      <family val="2"/>
    </font>
    <font>
      <sz val="10"/>
      <color indexed="60"/>
      <name val="Cambria"/>
      <family val="2"/>
    </font>
    <font>
      <b/>
      <sz val="10"/>
      <color indexed="63"/>
      <name val="Cambria"/>
      <family val="2"/>
    </font>
    <font>
      <b/>
      <sz val="18"/>
      <color indexed="56"/>
      <name val="Cambria"/>
      <family val="2"/>
    </font>
    <font>
      <b/>
      <sz val="10"/>
      <color indexed="8"/>
      <name val="Cambria"/>
      <family val="2"/>
    </font>
    <font>
      <sz val="10"/>
      <color indexed="10"/>
      <name val="Cambria"/>
      <family val="2"/>
    </font>
    <font>
      <sz val="12"/>
      <color theme="1"/>
      <name val="Arial"/>
      <family val="2"/>
    </font>
    <font>
      <u/>
      <sz val="10"/>
      <color indexed="12"/>
      <name val="Arial"/>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2"/>
      <color indexed="8"/>
      <name val="Arial"/>
      <family val="2"/>
    </font>
    <font>
      <sz val="12"/>
      <color indexed="10"/>
      <name val="Arial"/>
      <family val="2"/>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0"/>
      <name val="Arial Unicode MS"/>
      <family val="2"/>
    </font>
    <font>
      <b/>
      <sz val="10"/>
      <name val="Arial Unicode MS"/>
      <family val="2"/>
    </font>
    <font>
      <sz val="10"/>
      <name val="MS Sans Serif"/>
      <family val="2"/>
    </font>
    <font>
      <sz val="10"/>
      <color theme="1"/>
      <name val="Arial"/>
      <family val="2"/>
    </font>
    <font>
      <sz val="11"/>
      <color theme="1"/>
      <name val="Calibri"/>
      <family val="2"/>
    </font>
    <font>
      <sz val="12"/>
      <name val="Arial"/>
      <family val="2"/>
    </font>
    <font>
      <sz val="11"/>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Helv"/>
    </font>
    <font>
      <sz val="10"/>
      <color indexed="8"/>
      <name val="Arial"/>
      <family val="2"/>
    </font>
    <font>
      <sz val="8"/>
      <color indexed="8"/>
      <name val="Arial"/>
      <family val="2"/>
    </font>
    <font>
      <sz val="18"/>
      <name val="Times New Roman"/>
      <family val="1"/>
    </font>
    <font>
      <sz val="8"/>
      <name val="Times New Roman"/>
      <family val="1"/>
    </font>
    <font>
      <i/>
      <sz val="12"/>
      <name val="Times New Roman"/>
      <family val="1"/>
    </font>
    <font>
      <sz val="18"/>
      <name val="Arial"/>
      <family val="2"/>
    </font>
    <font>
      <i/>
      <sz val="12"/>
      <name val="Arial"/>
      <family val="2"/>
    </font>
    <font>
      <sz val="10"/>
      <name val="Tahoma"/>
      <family val="2"/>
    </font>
    <font>
      <sz val="10"/>
      <name val="Arial Unicode MS"/>
      <family val="2"/>
    </font>
    <font>
      <sz val="10"/>
      <name val="MS Sans Serif"/>
    </font>
    <font>
      <sz val="10"/>
      <name val="Arial Unicode MS"/>
      <family val="2"/>
    </font>
    <font>
      <sz val="10"/>
      <name val="Inherit"/>
    </font>
  </fonts>
  <fills count="56">
    <fill>
      <patternFill patternType="none"/>
    </fill>
    <fill>
      <patternFill patternType="gray125"/>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9">
    <border>
      <left/>
      <right/>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s>
  <cellStyleXfs count="28711">
    <xf numFmtId="0" fontId="0" fillId="0" borderId="0"/>
    <xf numFmtId="43" fontId="13" fillId="0" borderId="0" applyFont="0" applyFill="0" applyBorder="0" applyAlignment="0" applyProtection="0"/>
    <xf numFmtId="40" fontId="21" fillId="0" borderId="0" applyFont="0" applyFill="0" applyBorder="0" applyAlignment="0" applyProtection="0"/>
    <xf numFmtId="43" fontId="28" fillId="0" borderId="0" applyFont="0" applyFill="0" applyBorder="0" applyAlignment="0" applyProtection="0"/>
    <xf numFmtId="43" fontId="30" fillId="0" borderId="0" applyFont="0" applyFill="0" applyBorder="0" applyAlignment="0" applyProtection="0"/>
    <xf numFmtId="44" fontId="13" fillId="0" borderId="0" applyFont="0" applyFill="0" applyBorder="0" applyAlignment="0" applyProtection="0"/>
    <xf numFmtId="44" fontId="28" fillId="0" borderId="0" applyFont="0" applyFill="0" applyBorder="0" applyAlignment="0" applyProtection="0"/>
    <xf numFmtId="0" fontId="21" fillId="0" borderId="0"/>
    <xf numFmtId="0" fontId="13" fillId="0" borderId="0"/>
    <xf numFmtId="0" fontId="31" fillId="0" borderId="0"/>
    <xf numFmtId="0" fontId="13" fillId="0" borderId="0"/>
    <xf numFmtId="0" fontId="13" fillId="0" borderId="0"/>
    <xf numFmtId="0" fontId="29" fillId="0" borderId="0"/>
    <xf numFmtId="178" fontId="19" fillId="0" borderId="0"/>
    <xf numFmtId="0" fontId="21" fillId="0" borderId="0"/>
    <xf numFmtId="0" fontId="24" fillId="0" borderId="0"/>
    <xf numFmtId="0" fontId="21" fillId="0" borderId="0"/>
    <xf numFmtId="9" fontId="13" fillId="0" borderId="0" applyFont="0" applyFill="0" applyBorder="0" applyAlignment="0" applyProtection="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0" fillId="0" borderId="1">
      <alignment horizontal="center"/>
    </xf>
    <xf numFmtId="0" fontId="20" fillId="0" borderId="1">
      <alignment horizontal="center"/>
    </xf>
    <xf numFmtId="3" fontId="21" fillId="0" borderId="0" applyFont="0" applyFill="0" applyBorder="0" applyAlignment="0" applyProtection="0"/>
    <xf numFmtId="3" fontId="21" fillId="0" borderId="0" applyFont="0" applyFill="0" applyBorder="0" applyAlignment="0" applyProtection="0"/>
    <xf numFmtId="0" fontId="21" fillId="2" borderId="0" applyNumberFormat="0" applyFont="0" applyBorder="0" applyAlignment="0" applyProtection="0"/>
    <xf numFmtId="0" fontId="21" fillId="2" borderId="0" applyNumberFormat="0" applyFont="0" applyBorder="0" applyAlignment="0" applyProtection="0"/>
    <xf numFmtId="0" fontId="1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91" fontId="13" fillId="0" borderId="0" applyFont="0" applyFill="0" applyBorder="0" applyAlignment="0" applyProtection="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33" fillId="0" borderId="0"/>
    <xf numFmtId="0" fontId="11" fillId="0" borderId="0"/>
    <xf numFmtId="43" fontId="11" fillId="0" borderId="0" applyFont="0" applyFill="0" applyBorder="0" applyAlignment="0" applyProtection="0"/>
    <xf numFmtId="0" fontId="10" fillId="0" borderId="0"/>
    <xf numFmtId="0" fontId="24" fillId="0" borderId="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43" fontId="13" fillId="0" borderId="0" applyFont="0" applyFill="0" applyBorder="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44" fontId="13" fillId="0" borderId="0" applyFont="0" applyFill="0" applyBorder="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alignment vertical="top"/>
      <protection locked="0"/>
    </xf>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88" fillId="52" borderId="36" applyNumberFormat="0" applyAlignment="0" applyProtection="0"/>
    <xf numFmtId="0" fontId="89" fillId="0" borderId="37" applyNumberFormat="0" applyFill="0" applyAlignment="0" applyProtection="0"/>
    <xf numFmtId="0" fontId="90" fillId="0" borderId="0" applyNumberFormat="0" applyFill="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44" fontId="13" fillId="0" borderId="0" applyFont="0" applyFill="0" applyBorder="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88" fillId="52" borderId="36" applyNumberFormat="0" applyAlignment="0" applyProtection="0"/>
    <xf numFmtId="0" fontId="89" fillId="0" borderId="37" applyNumberFormat="0" applyFill="0" applyAlignment="0" applyProtection="0"/>
    <xf numFmtId="0" fontId="90" fillId="0" borderId="0" applyNumberFormat="0" applyFill="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9" fillId="11" borderId="0" applyNumberFormat="0" applyBorder="0" applyAlignment="0" applyProtection="0"/>
    <xf numFmtId="0" fontId="75" fillId="34"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9" fillId="15" borderId="0" applyNumberFormat="0" applyBorder="0" applyAlignment="0" applyProtection="0"/>
    <xf numFmtId="0" fontId="75" fillId="35"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9" fillId="19" borderId="0" applyNumberFormat="0" applyBorder="0" applyAlignment="0" applyProtection="0"/>
    <xf numFmtId="0" fontId="75" fillId="36"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9" fillId="23" borderId="0" applyNumberFormat="0" applyBorder="0" applyAlignment="0" applyProtection="0"/>
    <xf numFmtId="0" fontId="75" fillId="3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9" fillId="27" borderId="0" applyNumberFormat="0" applyBorder="0" applyAlignment="0" applyProtection="0"/>
    <xf numFmtId="0" fontId="75" fillId="38"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9" fillId="31" borderId="0" applyNumberFormat="0" applyBorder="0" applyAlignment="0" applyProtection="0"/>
    <xf numFmtId="0" fontId="75" fillId="39"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9" fillId="12" borderId="0" applyNumberFormat="0" applyBorder="0" applyAlignment="0" applyProtection="0"/>
    <xf numFmtId="0" fontId="75" fillId="40"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9" fillId="16" borderId="0" applyNumberFormat="0" applyBorder="0" applyAlignment="0" applyProtection="0"/>
    <xf numFmtId="0" fontId="75" fillId="41" borderId="0" applyNumberFormat="0" applyBorder="0" applyAlignment="0" applyProtection="0"/>
    <xf numFmtId="0" fontId="73" fillId="20" borderId="0" applyNumberFormat="0" applyBorder="0" applyAlignment="0" applyProtection="0"/>
    <xf numFmtId="0" fontId="75" fillId="42" borderId="0" applyNumberFormat="0" applyBorder="0" applyAlignment="0" applyProtection="0"/>
    <xf numFmtId="0" fontId="9" fillId="20" borderId="0" applyNumberFormat="0" applyBorder="0" applyAlignment="0" applyProtection="0"/>
    <xf numFmtId="0" fontId="75" fillId="42" borderId="0" applyNumberFormat="0" applyBorder="0" applyAlignment="0" applyProtection="0"/>
    <xf numFmtId="0" fontId="73" fillId="24" borderId="0" applyNumberFormat="0" applyBorder="0" applyAlignment="0" applyProtection="0"/>
    <xf numFmtId="0" fontId="75" fillId="37" borderId="0" applyNumberFormat="0" applyBorder="0" applyAlignment="0" applyProtection="0"/>
    <xf numFmtId="0" fontId="9" fillId="24" borderId="0" applyNumberFormat="0" applyBorder="0" applyAlignment="0" applyProtection="0"/>
    <xf numFmtId="0" fontId="75" fillId="37" borderId="0" applyNumberFormat="0" applyBorder="0" applyAlignment="0" applyProtection="0"/>
    <xf numFmtId="0" fontId="73" fillId="28" borderId="0" applyNumberFormat="0" applyBorder="0" applyAlignment="0" applyProtection="0"/>
    <xf numFmtId="0" fontId="75" fillId="40" borderId="0" applyNumberFormat="0" applyBorder="0" applyAlignment="0" applyProtection="0"/>
    <xf numFmtId="0" fontId="9" fillId="28" borderId="0" applyNumberFormat="0" applyBorder="0" applyAlignment="0" applyProtection="0"/>
    <xf numFmtId="0" fontId="75" fillId="40" borderId="0" applyNumberFormat="0" applyBorder="0" applyAlignment="0" applyProtection="0"/>
    <xf numFmtId="0" fontId="73" fillId="32" borderId="0" applyNumberFormat="0" applyBorder="0" applyAlignment="0" applyProtection="0"/>
    <xf numFmtId="0" fontId="75" fillId="43" borderId="0" applyNumberFormat="0" applyBorder="0" applyAlignment="0" applyProtection="0"/>
    <xf numFmtId="0" fontId="9" fillId="32" borderId="0" applyNumberFormat="0" applyBorder="0" applyAlignment="0" applyProtection="0"/>
    <xf numFmtId="0" fontId="75" fillId="43" borderId="0" applyNumberFormat="0" applyBorder="0" applyAlignment="0" applyProtection="0"/>
    <xf numFmtId="0" fontId="105" fillId="13" borderId="0" applyNumberFormat="0" applyBorder="0" applyAlignment="0" applyProtection="0"/>
    <xf numFmtId="0" fontId="76" fillId="44" borderId="0" applyNumberFormat="0" applyBorder="0" applyAlignment="0" applyProtection="0"/>
    <xf numFmtId="0" fontId="54" fillId="13" borderId="0" applyNumberFormat="0" applyBorder="0" applyAlignment="0" applyProtection="0"/>
    <xf numFmtId="0" fontId="76" fillId="44" borderId="0" applyNumberFormat="0" applyBorder="0" applyAlignment="0" applyProtection="0"/>
    <xf numFmtId="0" fontId="105" fillId="17" borderId="0" applyNumberFormat="0" applyBorder="0" applyAlignment="0" applyProtection="0"/>
    <xf numFmtId="0" fontId="76" fillId="41" borderId="0" applyNumberFormat="0" applyBorder="0" applyAlignment="0" applyProtection="0"/>
    <xf numFmtId="0" fontId="54" fillId="17" borderId="0" applyNumberFormat="0" applyBorder="0" applyAlignment="0" applyProtection="0"/>
    <xf numFmtId="0" fontId="76" fillId="41" borderId="0" applyNumberFormat="0" applyBorder="0" applyAlignment="0" applyProtection="0"/>
    <xf numFmtId="0" fontId="105" fillId="21" borderId="0" applyNumberFormat="0" applyBorder="0" applyAlignment="0" applyProtection="0"/>
    <xf numFmtId="0" fontId="76" fillId="42" borderId="0" applyNumberFormat="0" applyBorder="0" applyAlignment="0" applyProtection="0"/>
    <xf numFmtId="0" fontId="54" fillId="21" borderId="0" applyNumberFormat="0" applyBorder="0" applyAlignment="0" applyProtection="0"/>
    <xf numFmtId="0" fontId="76" fillId="42" borderId="0" applyNumberFormat="0" applyBorder="0" applyAlignment="0" applyProtection="0"/>
    <xf numFmtId="0" fontId="105" fillId="25" borderId="0" applyNumberFormat="0" applyBorder="0" applyAlignment="0" applyProtection="0"/>
    <xf numFmtId="0" fontId="76" fillId="45" borderId="0" applyNumberFormat="0" applyBorder="0" applyAlignment="0" applyProtection="0"/>
    <xf numFmtId="0" fontId="54" fillId="25" borderId="0" applyNumberFormat="0" applyBorder="0" applyAlignment="0" applyProtection="0"/>
    <xf numFmtId="0" fontId="76" fillId="45" borderId="0" applyNumberFormat="0" applyBorder="0" applyAlignment="0" applyProtection="0"/>
    <xf numFmtId="0" fontId="105" fillId="29" borderId="0" applyNumberFormat="0" applyBorder="0" applyAlignment="0" applyProtection="0"/>
    <xf numFmtId="0" fontId="76" fillId="46" borderId="0" applyNumberFormat="0" applyBorder="0" applyAlignment="0" applyProtection="0"/>
    <xf numFmtId="0" fontId="54" fillId="29" borderId="0" applyNumberFormat="0" applyBorder="0" applyAlignment="0" applyProtection="0"/>
    <xf numFmtId="0" fontId="76" fillId="46" borderId="0" applyNumberFormat="0" applyBorder="0" applyAlignment="0" applyProtection="0"/>
    <xf numFmtId="0" fontId="105" fillId="33" borderId="0" applyNumberFormat="0" applyBorder="0" applyAlignment="0" applyProtection="0"/>
    <xf numFmtId="0" fontId="76" fillId="47" borderId="0" applyNumberFormat="0" applyBorder="0" applyAlignment="0" applyProtection="0"/>
    <xf numFmtId="0" fontId="54" fillId="33" borderId="0" applyNumberFormat="0" applyBorder="0" applyAlignment="0" applyProtection="0"/>
    <xf numFmtId="0" fontId="76" fillId="47" borderId="0" applyNumberFormat="0" applyBorder="0" applyAlignment="0" applyProtection="0"/>
    <xf numFmtId="0" fontId="105" fillId="10" borderId="0" applyNumberFormat="0" applyBorder="0" applyAlignment="0" applyProtection="0"/>
    <xf numFmtId="0" fontId="76" fillId="48" borderId="0" applyNumberFormat="0" applyBorder="0" applyAlignment="0" applyProtection="0"/>
    <xf numFmtId="0" fontId="54" fillId="10" borderId="0" applyNumberFormat="0" applyBorder="0" applyAlignment="0" applyProtection="0"/>
    <xf numFmtId="0" fontId="76" fillId="48" borderId="0" applyNumberFormat="0" applyBorder="0" applyAlignment="0" applyProtection="0"/>
    <xf numFmtId="0" fontId="105" fillId="14" borderId="0" applyNumberFormat="0" applyBorder="0" applyAlignment="0" applyProtection="0"/>
    <xf numFmtId="0" fontId="76" fillId="49" borderId="0" applyNumberFormat="0" applyBorder="0" applyAlignment="0" applyProtection="0"/>
    <xf numFmtId="0" fontId="54" fillId="14" borderId="0" applyNumberFormat="0" applyBorder="0" applyAlignment="0" applyProtection="0"/>
    <xf numFmtId="0" fontId="76" fillId="49" borderId="0" applyNumberFormat="0" applyBorder="0" applyAlignment="0" applyProtection="0"/>
    <xf numFmtId="0" fontId="105" fillId="18" borderId="0" applyNumberFormat="0" applyBorder="0" applyAlignment="0" applyProtection="0"/>
    <xf numFmtId="0" fontId="76" fillId="50" borderId="0" applyNumberFormat="0" applyBorder="0" applyAlignment="0" applyProtection="0"/>
    <xf numFmtId="0" fontId="54" fillId="18" borderId="0" applyNumberFormat="0" applyBorder="0" applyAlignment="0" applyProtection="0"/>
    <xf numFmtId="0" fontId="76" fillId="50" borderId="0" applyNumberFormat="0" applyBorder="0" applyAlignment="0" applyProtection="0"/>
    <xf numFmtId="0" fontId="105" fillId="22" borderId="0" applyNumberFormat="0" applyBorder="0" applyAlignment="0" applyProtection="0"/>
    <xf numFmtId="0" fontId="76" fillId="45" borderId="0" applyNumberFormat="0" applyBorder="0" applyAlignment="0" applyProtection="0"/>
    <xf numFmtId="0" fontId="54" fillId="22" borderId="0" applyNumberFormat="0" applyBorder="0" applyAlignment="0" applyProtection="0"/>
    <xf numFmtId="0" fontId="76" fillId="45" borderId="0" applyNumberFormat="0" applyBorder="0" applyAlignment="0" applyProtection="0"/>
    <xf numFmtId="0" fontId="105" fillId="26" borderId="0" applyNumberFormat="0" applyBorder="0" applyAlignment="0" applyProtection="0"/>
    <xf numFmtId="0" fontId="76" fillId="46" borderId="0" applyNumberFormat="0" applyBorder="0" applyAlignment="0" applyProtection="0"/>
    <xf numFmtId="0" fontId="54" fillId="26" borderId="0" applyNumberFormat="0" applyBorder="0" applyAlignment="0" applyProtection="0"/>
    <xf numFmtId="0" fontId="76" fillId="46" borderId="0" applyNumberFormat="0" applyBorder="0" applyAlignment="0" applyProtection="0"/>
    <xf numFmtId="0" fontId="105" fillId="30" borderId="0" applyNumberFormat="0" applyBorder="0" applyAlignment="0" applyProtection="0"/>
    <xf numFmtId="0" fontId="76" fillId="51" borderId="0" applyNumberFormat="0" applyBorder="0" applyAlignment="0" applyProtection="0"/>
    <xf numFmtId="0" fontId="54" fillId="30" borderId="0" applyNumberFormat="0" applyBorder="0" applyAlignment="0" applyProtection="0"/>
    <xf numFmtId="0" fontId="76" fillId="51" borderId="0" applyNumberFormat="0" applyBorder="0" applyAlignment="0" applyProtection="0"/>
    <xf numFmtId="0" fontId="95" fillId="4" borderId="0" applyNumberFormat="0" applyBorder="0" applyAlignment="0" applyProtection="0"/>
    <xf numFmtId="0" fontId="77" fillId="35" borderId="0" applyNumberFormat="0" applyBorder="0" applyAlignment="0" applyProtection="0"/>
    <xf numFmtId="0" fontId="44" fillId="4" borderId="0" applyNumberFormat="0" applyBorder="0" applyAlignment="0" applyProtection="0"/>
    <xf numFmtId="0" fontId="77" fillId="35" borderId="0" applyNumberFormat="0" applyBorder="0" applyAlignment="0" applyProtection="0"/>
    <xf numFmtId="0" fontId="99" fillId="7" borderId="23" applyNumberFormat="0" applyAlignment="0" applyProtection="0"/>
    <xf numFmtId="0" fontId="78" fillId="52" borderId="29" applyNumberFormat="0" applyAlignment="0" applyProtection="0"/>
    <xf numFmtId="0" fontId="48" fillId="7" borderId="23" applyNumberFormat="0" applyAlignment="0" applyProtection="0"/>
    <xf numFmtId="0" fontId="78" fillId="52" borderId="29" applyNumberFormat="0" applyAlignment="0" applyProtection="0"/>
    <xf numFmtId="0" fontId="101" fillId="8" borderId="26" applyNumberFormat="0" applyAlignment="0" applyProtection="0"/>
    <xf numFmtId="0" fontId="79" fillId="53" borderId="30" applyNumberFormat="0" applyAlignment="0" applyProtection="0"/>
    <xf numFmtId="0" fontId="50" fillId="8" borderId="26" applyNumberFormat="0" applyAlignment="0" applyProtection="0"/>
    <xf numFmtId="0" fontId="79" fillId="53" borderId="30" applyNumberFormat="0" applyAlignment="0" applyProtection="0"/>
    <xf numFmtId="0" fontId="103" fillId="0" borderId="0" applyNumberFormat="0" applyFill="0" applyBorder="0" applyAlignment="0" applyProtection="0"/>
    <xf numFmtId="0" fontId="80"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0" fontId="94" fillId="3" borderId="0" applyNumberFormat="0" applyBorder="0" applyAlignment="0" applyProtection="0"/>
    <xf numFmtId="0" fontId="81" fillId="36" borderId="0" applyNumberFormat="0" applyBorder="0" applyAlignment="0" applyProtection="0"/>
    <xf numFmtId="0" fontId="43" fillId="3" borderId="0" applyNumberFormat="0" applyBorder="0" applyAlignment="0" applyProtection="0"/>
    <xf numFmtId="0" fontId="81" fillId="36" borderId="0" applyNumberFormat="0" applyBorder="0" applyAlignment="0" applyProtection="0"/>
    <xf numFmtId="0" fontId="91" fillId="0" borderId="20" applyNumberFormat="0" applyFill="0" applyAlignment="0" applyProtection="0"/>
    <xf numFmtId="0" fontId="82" fillId="0" borderId="31" applyNumberFormat="0" applyFill="0" applyAlignment="0" applyProtection="0"/>
    <xf numFmtId="0" fontId="40" fillId="0" borderId="20" applyNumberFormat="0" applyFill="0" applyAlignment="0" applyProtection="0"/>
    <xf numFmtId="0" fontId="82" fillId="0" borderId="31" applyNumberFormat="0" applyFill="0" applyAlignment="0" applyProtection="0"/>
    <xf numFmtId="0" fontId="92" fillId="0" borderId="21" applyNumberFormat="0" applyFill="0" applyAlignment="0" applyProtection="0"/>
    <xf numFmtId="0" fontId="83" fillId="0" borderId="32" applyNumberFormat="0" applyFill="0" applyAlignment="0" applyProtection="0"/>
    <xf numFmtId="0" fontId="41" fillId="0" borderId="21" applyNumberFormat="0" applyFill="0" applyAlignment="0" applyProtection="0"/>
    <xf numFmtId="0" fontId="83" fillId="0" borderId="32" applyNumberFormat="0" applyFill="0" applyAlignment="0" applyProtection="0"/>
    <xf numFmtId="0" fontId="93" fillId="0" borderId="22" applyNumberFormat="0" applyFill="0" applyAlignment="0" applyProtection="0"/>
    <xf numFmtId="0" fontId="84" fillId="0" borderId="33" applyNumberFormat="0" applyFill="0" applyAlignment="0" applyProtection="0"/>
    <xf numFmtId="0" fontId="42" fillId="0" borderId="22" applyNumberFormat="0" applyFill="0" applyAlignment="0" applyProtection="0"/>
    <xf numFmtId="0" fontId="84" fillId="0" borderId="33" applyNumberFormat="0" applyFill="0" applyAlignment="0" applyProtection="0"/>
    <xf numFmtId="0" fontId="93" fillId="0" borderId="0" applyNumberFormat="0" applyFill="0" applyBorder="0" applyAlignment="0" applyProtection="0"/>
    <xf numFmtId="0" fontId="84" fillId="0" borderId="0" applyNumberFormat="0" applyFill="0" applyBorder="0" applyAlignment="0" applyProtection="0"/>
    <xf numFmtId="0" fontId="42" fillId="0" borderId="0" applyNumberFormat="0" applyFill="0" applyBorder="0" applyAlignment="0" applyProtection="0"/>
    <xf numFmtId="0" fontId="84" fillId="0" borderId="0" applyNumberFormat="0" applyFill="0" applyBorder="0" applyAlignment="0" applyProtection="0"/>
    <xf numFmtId="0" fontId="97" fillId="6" borderId="23" applyNumberFormat="0" applyAlignment="0" applyProtection="0"/>
    <xf numFmtId="0" fontId="85" fillId="39" borderId="29" applyNumberFormat="0" applyAlignment="0" applyProtection="0"/>
    <xf numFmtId="0" fontId="46" fillId="6" borderId="23" applyNumberFormat="0" applyAlignment="0" applyProtection="0"/>
    <xf numFmtId="0" fontId="85" fillId="39" borderId="29" applyNumberFormat="0" applyAlignment="0" applyProtection="0"/>
    <xf numFmtId="0" fontId="100" fillId="0" borderId="25" applyNumberFormat="0" applyFill="0" applyAlignment="0" applyProtection="0"/>
    <xf numFmtId="0" fontId="86" fillId="0" borderId="34" applyNumberFormat="0" applyFill="0" applyAlignment="0" applyProtection="0"/>
    <xf numFmtId="0" fontId="49" fillId="0" borderId="25" applyNumberFormat="0" applyFill="0" applyAlignment="0" applyProtection="0"/>
    <xf numFmtId="0" fontId="86" fillId="0" borderId="34" applyNumberFormat="0" applyFill="0" applyAlignment="0" applyProtection="0"/>
    <xf numFmtId="0" fontId="96" fillId="5" borderId="0" applyNumberFormat="0" applyBorder="0" applyAlignment="0" applyProtection="0"/>
    <xf numFmtId="0" fontId="87" fillId="54" borderId="0" applyNumberFormat="0" applyBorder="0" applyAlignment="0" applyProtection="0"/>
    <xf numFmtId="0" fontId="45" fillId="5" borderId="0" applyNumberFormat="0" applyBorder="0" applyAlignment="0" applyProtection="0"/>
    <xf numFmtId="0" fontId="87" fillId="54" borderId="0" applyNumberFormat="0" applyBorder="0" applyAlignment="0" applyProtection="0"/>
    <xf numFmtId="0" fontId="9" fillId="0" borderId="0"/>
    <xf numFmtId="0" fontId="13" fillId="55" borderId="35" applyNumberFormat="0" applyFont="0" applyAlignment="0" applyProtection="0"/>
    <xf numFmtId="0" fontId="9" fillId="9" borderId="27" applyNumberFormat="0" applyFont="0" applyAlignment="0" applyProtection="0"/>
    <xf numFmtId="0" fontId="13" fillId="55" borderId="35" applyNumberFormat="0" applyFont="0" applyAlignment="0" applyProtection="0"/>
    <xf numFmtId="0" fontId="98" fillId="7" borderId="24" applyNumberFormat="0" applyAlignment="0" applyProtection="0"/>
    <xf numFmtId="0" fontId="88" fillId="52" borderId="36" applyNumberFormat="0" applyAlignment="0" applyProtection="0"/>
    <xf numFmtId="0" fontId="47" fillId="7" borderId="24" applyNumberFormat="0" applyAlignment="0" applyProtection="0"/>
    <xf numFmtId="0" fontId="88" fillId="52" borderId="36" applyNumberFormat="0" applyAlignment="0" applyProtection="0"/>
    <xf numFmtId="0" fontId="39" fillId="0" borderId="0" applyNumberFormat="0" applyFill="0" applyBorder="0" applyAlignment="0" applyProtection="0"/>
    <xf numFmtId="0" fontId="104" fillId="0" borderId="28" applyNumberFormat="0" applyFill="0" applyAlignment="0" applyProtection="0"/>
    <xf numFmtId="0" fontId="89" fillId="0" borderId="37" applyNumberFormat="0" applyFill="0" applyAlignment="0" applyProtection="0"/>
    <xf numFmtId="0" fontId="53" fillId="0" borderId="28" applyNumberFormat="0" applyFill="0" applyAlignment="0" applyProtection="0"/>
    <xf numFmtId="0" fontId="89" fillId="0" borderId="37" applyNumberFormat="0" applyFill="0" applyAlignment="0" applyProtection="0"/>
    <xf numFmtId="0" fontId="102" fillId="0" borderId="0" applyNumberFormat="0" applyFill="0" applyBorder="0" applyAlignment="0" applyProtection="0"/>
    <xf numFmtId="0" fontId="90"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73" fillId="11" borderId="0" applyNumberFormat="0" applyBorder="0" applyAlignment="0" applyProtection="0"/>
    <xf numFmtId="0" fontId="9" fillId="11" borderId="0" applyNumberFormat="0" applyBorder="0" applyAlignment="0" applyProtection="0"/>
    <xf numFmtId="0" fontId="75" fillId="34" borderId="0" applyNumberFormat="0" applyBorder="0" applyAlignment="0" applyProtection="0"/>
    <xf numFmtId="0" fontId="73" fillId="15" borderId="0" applyNumberFormat="0" applyBorder="0" applyAlignment="0" applyProtection="0"/>
    <xf numFmtId="0" fontId="9" fillId="15" borderId="0" applyNumberFormat="0" applyBorder="0" applyAlignment="0" applyProtection="0"/>
    <xf numFmtId="0" fontId="75" fillId="35" borderId="0" applyNumberFormat="0" applyBorder="0" applyAlignment="0" applyProtection="0"/>
    <xf numFmtId="0" fontId="73" fillId="19" borderId="0" applyNumberFormat="0" applyBorder="0" applyAlignment="0" applyProtection="0"/>
    <xf numFmtId="0" fontId="9" fillId="19" borderId="0" applyNumberFormat="0" applyBorder="0" applyAlignment="0" applyProtection="0"/>
    <xf numFmtId="0" fontId="75" fillId="36" borderId="0" applyNumberFormat="0" applyBorder="0" applyAlignment="0" applyProtection="0"/>
    <xf numFmtId="0" fontId="73" fillId="23" borderId="0" applyNumberFormat="0" applyBorder="0" applyAlignment="0" applyProtection="0"/>
    <xf numFmtId="0" fontId="9" fillId="23" borderId="0" applyNumberFormat="0" applyBorder="0" applyAlignment="0" applyProtection="0"/>
    <xf numFmtId="0" fontId="75" fillId="37" borderId="0" applyNumberFormat="0" applyBorder="0" applyAlignment="0" applyProtection="0"/>
    <xf numFmtId="0" fontId="73" fillId="27" borderId="0" applyNumberFormat="0" applyBorder="0" applyAlignment="0" applyProtection="0"/>
    <xf numFmtId="0" fontId="9" fillId="27" borderId="0" applyNumberFormat="0" applyBorder="0" applyAlignment="0" applyProtection="0"/>
    <xf numFmtId="0" fontId="75" fillId="38" borderId="0" applyNumberFormat="0" applyBorder="0" applyAlignment="0" applyProtection="0"/>
    <xf numFmtId="0" fontId="73" fillId="31" borderId="0" applyNumberFormat="0" applyBorder="0" applyAlignment="0" applyProtection="0"/>
    <xf numFmtId="0" fontId="9" fillId="31" borderId="0" applyNumberFormat="0" applyBorder="0" applyAlignment="0" applyProtection="0"/>
    <xf numFmtId="0" fontId="75" fillId="39" borderId="0" applyNumberFormat="0" applyBorder="0" applyAlignment="0" applyProtection="0"/>
    <xf numFmtId="0" fontId="73" fillId="12" borderId="0" applyNumberFormat="0" applyBorder="0" applyAlignment="0" applyProtection="0"/>
    <xf numFmtId="0" fontId="9" fillId="12" borderId="0" applyNumberFormat="0" applyBorder="0" applyAlignment="0" applyProtection="0"/>
    <xf numFmtId="0" fontId="75" fillId="40" borderId="0" applyNumberFormat="0" applyBorder="0" applyAlignment="0" applyProtection="0"/>
    <xf numFmtId="0" fontId="73" fillId="16" borderId="0" applyNumberFormat="0" applyBorder="0" applyAlignment="0" applyProtection="0"/>
    <xf numFmtId="0" fontId="9" fillId="16" borderId="0" applyNumberFormat="0" applyBorder="0" applyAlignment="0" applyProtection="0"/>
    <xf numFmtId="0" fontId="75" fillId="41" borderId="0" applyNumberFormat="0" applyBorder="0" applyAlignment="0" applyProtection="0"/>
    <xf numFmtId="0" fontId="73" fillId="20" borderId="0" applyNumberFormat="0" applyBorder="0" applyAlignment="0" applyProtection="0"/>
    <xf numFmtId="0" fontId="9" fillId="20" borderId="0" applyNumberFormat="0" applyBorder="0" applyAlignment="0" applyProtection="0"/>
    <xf numFmtId="0" fontId="75" fillId="42" borderId="0" applyNumberFormat="0" applyBorder="0" applyAlignment="0" applyProtection="0"/>
    <xf numFmtId="0" fontId="73" fillId="24" borderId="0" applyNumberFormat="0" applyBorder="0" applyAlignment="0" applyProtection="0"/>
    <xf numFmtId="0" fontId="9" fillId="24" borderId="0" applyNumberFormat="0" applyBorder="0" applyAlignment="0" applyProtection="0"/>
    <xf numFmtId="0" fontId="75" fillId="37" borderId="0" applyNumberFormat="0" applyBorder="0" applyAlignment="0" applyProtection="0"/>
    <xf numFmtId="0" fontId="73" fillId="28" borderId="0" applyNumberFormat="0" applyBorder="0" applyAlignment="0" applyProtection="0"/>
    <xf numFmtId="0" fontId="9" fillId="28" borderId="0" applyNumberFormat="0" applyBorder="0" applyAlignment="0" applyProtection="0"/>
    <xf numFmtId="0" fontId="75" fillId="40" borderId="0" applyNumberFormat="0" applyBorder="0" applyAlignment="0" applyProtection="0"/>
    <xf numFmtId="0" fontId="73" fillId="32" borderId="0" applyNumberFormat="0" applyBorder="0" applyAlignment="0" applyProtection="0"/>
    <xf numFmtId="0" fontId="9" fillId="32" borderId="0" applyNumberFormat="0" applyBorder="0" applyAlignment="0" applyProtection="0"/>
    <xf numFmtId="0" fontId="75" fillId="43" borderId="0" applyNumberFormat="0" applyBorder="0" applyAlignment="0" applyProtection="0"/>
    <xf numFmtId="0" fontId="105" fillId="13" borderId="0" applyNumberFormat="0" applyBorder="0" applyAlignment="0" applyProtection="0"/>
    <xf numFmtId="0" fontId="54" fillId="13" borderId="0" applyNumberFormat="0" applyBorder="0" applyAlignment="0" applyProtection="0"/>
    <xf numFmtId="0" fontId="76" fillId="44" borderId="0" applyNumberFormat="0" applyBorder="0" applyAlignment="0" applyProtection="0"/>
    <xf numFmtId="0" fontId="105" fillId="17" borderId="0" applyNumberFormat="0" applyBorder="0" applyAlignment="0" applyProtection="0"/>
    <xf numFmtId="0" fontId="54" fillId="17" borderId="0" applyNumberFormat="0" applyBorder="0" applyAlignment="0" applyProtection="0"/>
    <xf numFmtId="0" fontId="76" fillId="41" borderId="0" applyNumberFormat="0" applyBorder="0" applyAlignment="0" applyProtection="0"/>
    <xf numFmtId="0" fontId="105" fillId="21" borderId="0" applyNumberFormat="0" applyBorder="0" applyAlignment="0" applyProtection="0"/>
    <xf numFmtId="0" fontId="54" fillId="21" borderId="0" applyNumberFormat="0" applyBorder="0" applyAlignment="0" applyProtection="0"/>
    <xf numFmtId="0" fontId="76" fillId="42" borderId="0" applyNumberFormat="0" applyBorder="0" applyAlignment="0" applyProtection="0"/>
    <xf numFmtId="0" fontId="105" fillId="25" borderId="0" applyNumberFormat="0" applyBorder="0" applyAlignment="0" applyProtection="0"/>
    <xf numFmtId="0" fontId="54" fillId="25" borderId="0" applyNumberFormat="0" applyBorder="0" applyAlignment="0" applyProtection="0"/>
    <xf numFmtId="0" fontId="76" fillId="45" borderId="0" applyNumberFormat="0" applyBorder="0" applyAlignment="0" applyProtection="0"/>
    <xf numFmtId="0" fontId="105" fillId="29" borderId="0" applyNumberFormat="0" applyBorder="0" applyAlignment="0" applyProtection="0"/>
    <xf numFmtId="0" fontId="54" fillId="29" borderId="0" applyNumberFormat="0" applyBorder="0" applyAlignment="0" applyProtection="0"/>
    <xf numFmtId="0" fontId="76" fillId="46" borderId="0" applyNumberFormat="0" applyBorder="0" applyAlignment="0" applyProtection="0"/>
    <xf numFmtId="0" fontId="105" fillId="33" borderId="0" applyNumberFormat="0" applyBorder="0" applyAlignment="0" applyProtection="0"/>
    <xf numFmtId="0" fontId="54" fillId="33" borderId="0" applyNumberFormat="0" applyBorder="0" applyAlignment="0" applyProtection="0"/>
    <xf numFmtId="0" fontId="76" fillId="47" borderId="0" applyNumberFormat="0" applyBorder="0" applyAlignment="0" applyProtection="0"/>
    <xf numFmtId="0" fontId="105" fillId="10" borderId="0" applyNumberFormat="0" applyBorder="0" applyAlignment="0" applyProtection="0"/>
    <xf numFmtId="0" fontId="54" fillId="10" borderId="0" applyNumberFormat="0" applyBorder="0" applyAlignment="0" applyProtection="0"/>
    <xf numFmtId="0" fontId="76" fillId="48" borderId="0" applyNumberFormat="0" applyBorder="0" applyAlignment="0" applyProtection="0"/>
    <xf numFmtId="0" fontId="105" fillId="14" borderId="0" applyNumberFormat="0" applyBorder="0" applyAlignment="0" applyProtection="0"/>
    <xf numFmtId="0" fontId="54" fillId="14" borderId="0" applyNumberFormat="0" applyBorder="0" applyAlignment="0" applyProtection="0"/>
    <xf numFmtId="0" fontId="76" fillId="49" borderId="0" applyNumberFormat="0" applyBorder="0" applyAlignment="0" applyProtection="0"/>
    <xf numFmtId="0" fontId="105" fillId="18" borderId="0" applyNumberFormat="0" applyBorder="0" applyAlignment="0" applyProtection="0"/>
    <xf numFmtId="0" fontId="54" fillId="18" borderId="0" applyNumberFormat="0" applyBorder="0" applyAlignment="0" applyProtection="0"/>
    <xf numFmtId="0" fontId="76" fillId="50" borderId="0" applyNumberFormat="0" applyBorder="0" applyAlignment="0" applyProtection="0"/>
    <xf numFmtId="0" fontId="105" fillId="22" borderId="0" applyNumberFormat="0" applyBorder="0" applyAlignment="0" applyProtection="0"/>
    <xf numFmtId="0" fontId="54" fillId="22" borderId="0" applyNumberFormat="0" applyBorder="0" applyAlignment="0" applyProtection="0"/>
    <xf numFmtId="0" fontId="76" fillId="45" borderId="0" applyNumberFormat="0" applyBorder="0" applyAlignment="0" applyProtection="0"/>
    <xf numFmtId="0" fontId="105" fillId="26" borderId="0" applyNumberFormat="0" applyBorder="0" applyAlignment="0" applyProtection="0"/>
    <xf numFmtId="0" fontId="54" fillId="26" borderId="0" applyNumberFormat="0" applyBorder="0" applyAlignment="0" applyProtection="0"/>
    <xf numFmtId="0" fontId="76" fillId="46" borderId="0" applyNumberFormat="0" applyBorder="0" applyAlignment="0" applyProtection="0"/>
    <xf numFmtId="0" fontId="105" fillId="30" borderId="0" applyNumberFormat="0" applyBorder="0" applyAlignment="0" applyProtection="0"/>
    <xf numFmtId="0" fontId="54" fillId="30" borderId="0" applyNumberFormat="0" applyBorder="0" applyAlignment="0" applyProtection="0"/>
    <xf numFmtId="0" fontId="76" fillId="51" borderId="0" applyNumberFormat="0" applyBorder="0" applyAlignment="0" applyProtection="0"/>
    <xf numFmtId="0" fontId="95" fillId="4" borderId="0" applyNumberFormat="0" applyBorder="0" applyAlignment="0" applyProtection="0"/>
    <xf numFmtId="0" fontId="44" fillId="4" borderId="0" applyNumberFormat="0" applyBorder="0" applyAlignment="0" applyProtection="0"/>
    <xf numFmtId="0" fontId="77" fillId="35" borderId="0" applyNumberFormat="0" applyBorder="0" applyAlignment="0" applyProtection="0"/>
    <xf numFmtId="0" fontId="99" fillId="7" borderId="23" applyNumberFormat="0" applyAlignment="0" applyProtection="0"/>
    <xf numFmtId="0" fontId="48" fillId="7" borderId="23" applyNumberFormat="0" applyAlignment="0" applyProtection="0"/>
    <xf numFmtId="0" fontId="78" fillId="52" borderId="29" applyNumberFormat="0" applyAlignment="0" applyProtection="0"/>
    <xf numFmtId="0" fontId="101" fillId="8" borderId="26" applyNumberFormat="0" applyAlignment="0" applyProtection="0"/>
    <xf numFmtId="0" fontId="50" fillId="8" borderId="26" applyNumberFormat="0" applyAlignment="0" applyProtection="0"/>
    <xf numFmtId="0" fontId="79" fillId="53" borderId="30" applyNumberFormat="0" applyAlignment="0" applyProtection="0"/>
    <xf numFmtId="0" fontId="103"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0" fontId="94" fillId="3" borderId="0" applyNumberFormat="0" applyBorder="0" applyAlignment="0" applyProtection="0"/>
    <xf numFmtId="0" fontId="43" fillId="3" borderId="0" applyNumberFormat="0" applyBorder="0" applyAlignment="0" applyProtection="0"/>
    <xf numFmtId="0" fontId="81" fillId="36" borderId="0" applyNumberFormat="0" applyBorder="0" applyAlignment="0" applyProtection="0"/>
    <xf numFmtId="0" fontId="91" fillId="0" borderId="20" applyNumberFormat="0" applyFill="0" applyAlignment="0" applyProtection="0"/>
    <xf numFmtId="0" fontId="40" fillId="0" borderId="20" applyNumberFormat="0" applyFill="0" applyAlignment="0" applyProtection="0"/>
    <xf numFmtId="0" fontId="82" fillId="0" borderId="31" applyNumberFormat="0" applyFill="0" applyAlignment="0" applyProtection="0"/>
    <xf numFmtId="0" fontId="92" fillId="0" borderId="21" applyNumberFormat="0" applyFill="0" applyAlignment="0" applyProtection="0"/>
    <xf numFmtId="0" fontId="41" fillId="0" borderId="21" applyNumberFormat="0" applyFill="0" applyAlignment="0" applyProtection="0"/>
    <xf numFmtId="0" fontId="83" fillId="0" borderId="32" applyNumberFormat="0" applyFill="0" applyAlignment="0" applyProtection="0"/>
    <xf numFmtId="0" fontId="93" fillId="0" borderId="22" applyNumberFormat="0" applyFill="0" applyAlignment="0" applyProtection="0"/>
    <xf numFmtId="0" fontId="42" fillId="0" borderId="22" applyNumberFormat="0" applyFill="0" applyAlignment="0" applyProtection="0"/>
    <xf numFmtId="0" fontId="84" fillId="0" borderId="33" applyNumberFormat="0" applyFill="0" applyAlignment="0" applyProtection="0"/>
    <xf numFmtId="0" fontId="93" fillId="0" borderId="0" applyNumberFormat="0" applyFill="0" applyBorder="0" applyAlignment="0" applyProtection="0"/>
    <xf numFmtId="0" fontId="42" fillId="0" borderId="0" applyNumberFormat="0" applyFill="0" applyBorder="0" applyAlignment="0" applyProtection="0"/>
    <xf numFmtId="0" fontId="84" fillId="0" borderId="0" applyNumberFormat="0" applyFill="0" applyBorder="0" applyAlignment="0" applyProtection="0"/>
    <xf numFmtId="0" fontId="97" fillId="6" borderId="23" applyNumberFormat="0" applyAlignment="0" applyProtection="0"/>
    <xf numFmtId="0" fontId="46" fillId="6" borderId="23" applyNumberFormat="0" applyAlignment="0" applyProtection="0"/>
    <xf numFmtId="0" fontId="85" fillId="39" borderId="29" applyNumberFormat="0" applyAlignment="0" applyProtection="0"/>
    <xf numFmtId="0" fontId="100" fillId="0" borderId="25" applyNumberFormat="0" applyFill="0" applyAlignment="0" applyProtection="0"/>
    <xf numFmtId="0" fontId="49" fillId="0" borderId="25" applyNumberFormat="0" applyFill="0" applyAlignment="0" applyProtection="0"/>
    <xf numFmtId="0" fontId="86" fillId="0" borderId="34" applyNumberFormat="0" applyFill="0" applyAlignment="0" applyProtection="0"/>
    <xf numFmtId="0" fontId="96" fillId="5" borderId="0" applyNumberFormat="0" applyBorder="0" applyAlignment="0" applyProtection="0"/>
    <xf numFmtId="0" fontId="45" fillId="5" borderId="0" applyNumberFormat="0" applyBorder="0" applyAlignment="0" applyProtection="0"/>
    <xf numFmtId="0" fontId="87" fillId="54" borderId="0" applyNumberFormat="0" applyBorder="0" applyAlignment="0" applyProtection="0"/>
    <xf numFmtId="0" fontId="9" fillId="0" borderId="0"/>
    <xf numFmtId="0" fontId="9" fillId="9" borderId="27" applyNumberFormat="0" applyFont="0" applyAlignment="0" applyProtection="0"/>
    <xf numFmtId="0" fontId="13" fillId="55" borderId="35" applyNumberFormat="0" applyFont="0" applyAlignment="0" applyProtection="0"/>
    <xf numFmtId="0" fontId="98" fillId="7" borderId="24" applyNumberFormat="0" applyAlignment="0" applyProtection="0"/>
    <xf numFmtId="0" fontId="47" fillId="7" borderId="24" applyNumberFormat="0" applyAlignment="0" applyProtection="0"/>
    <xf numFmtId="0" fontId="88" fillId="52" borderId="36" applyNumberFormat="0" applyAlignment="0" applyProtection="0"/>
    <xf numFmtId="0" fontId="39" fillId="0" borderId="0" applyNumberFormat="0" applyFill="0" applyBorder="0" applyAlignment="0" applyProtection="0"/>
    <xf numFmtId="0" fontId="104" fillId="0" borderId="28" applyNumberFormat="0" applyFill="0" applyAlignment="0" applyProtection="0"/>
    <xf numFmtId="0" fontId="53" fillId="0" borderId="28" applyNumberFormat="0" applyFill="0" applyAlignment="0" applyProtection="0"/>
    <xf numFmtId="0" fontId="89" fillId="0" borderId="37" applyNumberFormat="0" applyFill="0" applyAlignment="0" applyProtection="0"/>
    <xf numFmtId="0" fontId="102"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78" fillId="52" borderId="29" applyNumberFormat="0" applyAlignment="0" applyProtection="0"/>
    <xf numFmtId="0" fontId="78" fillId="52" borderId="29" applyNumberFormat="0" applyAlignment="0" applyProtection="0"/>
    <xf numFmtId="0" fontId="99" fillId="7" borderId="23" applyNumberFormat="0" applyAlignment="0" applyProtection="0"/>
    <xf numFmtId="0" fontId="99" fillId="7" borderId="23" applyNumberFormat="0" applyAlignment="0" applyProtection="0"/>
    <xf numFmtId="0" fontId="79" fillId="53" borderId="30" applyNumberFormat="0" applyAlignment="0" applyProtection="0"/>
    <xf numFmtId="0" fontId="79" fillId="53" borderId="30" applyNumberFormat="0" applyAlignment="0" applyProtection="0"/>
    <xf numFmtId="0" fontId="101" fillId="8" borderId="26" applyNumberFormat="0" applyAlignment="0" applyProtection="0"/>
    <xf numFmtId="0" fontId="101" fillId="8" borderId="26" applyNumberFormat="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1" fillId="36" borderId="0" applyNumberFormat="0" applyBorder="0" applyAlignment="0" applyProtection="0"/>
    <xf numFmtId="0" fontId="81" fillId="36"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82" fillId="0" borderId="31" applyNumberFormat="0" applyFill="0" applyAlignment="0" applyProtection="0"/>
    <xf numFmtId="0" fontId="82" fillId="0" borderId="31" applyNumberFormat="0" applyFill="0" applyAlignment="0" applyProtection="0"/>
    <xf numFmtId="0" fontId="91" fillId="0" borderId="20" applyNumberFormat="0" applyFill="0" applyAlignment="0" applyProtection="0"/>
    <xf numFmtId="0" fontId="91" fillId="0" borderId="20" applyNumberFormat="0" applyFill="0" applyAlignment="0" applyProtection="0"/>
    <xf numFmtId="0" fontId="83" fillId="0" borderId="32" applyNumberFormat="0" applyFill="0" applyAlignment="0" applyProtection="0"/>
    <xf numFmtId="0" fontId="83" fillId="0" borderId="32"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85" fillId="39" borderId="29" applyNumberFormat="0" applyAlignment="0" applyProtection="0"/>
    <xf numFmtId="0" fontId="85" fillId="39" borderId="29" applyNumberFormat="0" applyAlignment="0" applyProtection="0"/>
    <xf numFmtId="0" fontId="97" fillId="6" borderId="23" applyNumberFormat="0" applyAlignment="0" applyProtection="0"/>
    <xf numFmtId="0" fontId="97" fillId="6" borderId="23" applyNumberFormat="0" applyAlignment="0" applyProtection="0"/>
    <xf numFmtId="0" fontId="86" fillId="0" borderId="34" applyNumberFormat="0" applyFill="0" applyAlignment="0" applyProtection="0"/>
    <xf numFmtId="0" fontId="86" fillId="0" borderId="34" applyNumberFormat="0" applyFill="0" applyAlignment="0" applyProtection="0"/>
    <xf numFmtId="0" fontId="100" fillId="0" borderId="25" applyNumberFormat="0" applyFill="0" applyAlignment="0" applyProtection="0"/>
    <xf numFmtId="0" fontId="100" fillId="0" borderId="25" applyNumberFormat="0" applyFill="0" applyAlignment="0" applyProtection="0"/>
    <xf numFmtId="0" fontId="87" fillId="54" borderId="0" applyNumberFormat="0" applyBorder="0" applyAlignment="0" applyProtection="0"/>
    <xf numFmtId="0" fontId="87" fillId="54"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13" fillId="55" borderId="35" applyNumberFormat="0" applyFont="0" applyAlignment="0" applyProtection="0"/>
    <xf numFmtId="0" fontId="13" fillId="55" borderId="35" applyNumberFormat="0" applyFont="0" applyAlignment="0" applyProtection="0"/>
    <xf numFmtId="0" fontId="88" fillId="52" borderId="36" applyNumberFormat="0" applyAlignment="0" applyProtection="0"/>
    <xf numFmtId="0" fontId="88" fillId="52" borderId="36" applyNumberFormat="0" applyAlignment="0" applyProtection="0"/>
    <xf numFmtId="0" fontId="98" fillId="7" borderId="24" applyNumberFormat="0" applyAlignment="0" applyProtection="0"/>
    <xf numFmtId="0" fontId="98" fillId="7" borderId="24" applyNumberFormat="0" applyAlignment="0" applyProtection="0"/>
    <xf numFmtId="0" fontId="89" fillId="0" borderId="37" applyNumberFormat="0" applyFill="0" applyAlignment="0" applyProtection="0"/>
    <xf numFmtId="0" fontId="89" fillId="0" borderId="3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75" fillId="34" borderId="0" applyNumberFormat="0" applyBorder="0" applyAlignment="0" applyProtection="0"/>
    <xf numFmtId="0" fontId="9" fillId="11" borderId="0" applyNumberFormat="0" applyBorder="0" applyAlignment="0" applyProtection="0"/>
    <xf numFmtId="0" fontId="73" fillId="11" borderId="0" applyNumberFormat="0" applyBorder="0" applyAlignment="0" applyProtection="0"/>
    <xf numFmtId="0" fontId="75" fillId="35" borderId="0" applyNumberFormat="0" applyBorder="0" applyAlignment="0" applyProtection="0"/>
    <xf numFmtId="0" fontId="9" fillId="15" borderId="0" applyNumberFormat="0" applyBorder="0" applyAlignment="0" applyProtection="0"/>
    <xf numFmtId="0" fontId="73" fillId="15" borderId="0" applyNumberFormat="0" applyBorder="0" applyAlignment="0" applyProtection="0"/>
    <xf numFmtId="0" fontId="75" fillId="36" borderId="0" applyNumberFormat="0" applyBorder="0" applyAlignment="0" applyProtection="0"/>
    <xf numFmtId="0" fontId="9" fillId="19" borderId="0" applyNumberFormat="0" applyBorder="0" applyAlignment="0" applyProtection="0"/>
    <xf numFmtId="0" fontId="73" fillId="19" borderId="0" applyNumberFormat="0" applyBorder="0" applyAlignment="0" applyProtection="0"/>
    <xf numFmtId="0" fontId="75" fillId="37" borderId="0" applyNumberFormat="0" applyBorder="0" applyAlignment="0" applyProtection="0"/>
    <xf numFmtId="0" fontId="9" fillId="23" borderId="0" applyNumberFormat="0" applyBorder="0" applyAlignment="0" applyProtection="0"/>
    <xf numFmtId="0" fontId="73" fillId="23" borderId="0" applyNumberFormat="0" applyBorder="0" applyAlignment="0" applyProtection="0"/>
    <xf numFmtId="0" fontId="75" fillId="38" borderId="0" applyNumberFormat="0" applyBorder="0" applyAlignment="0" applyProtection="0"/>
    <xf numFmtId="0" fontId="9" fillId="27" borderId="0" applyNumberFormat="0" applyBorder="0" applyAlignment="0" applyProtection="0"/>
    <xf numFmtId="0" fontId="73" fillId="27" borderId="0" applyNumberFormat="0" applyBorder="0" applyAlignment="0" applyProtection="0"/>
    <xf numFmtId="0" fontId="75" fillId="39" borderId="0" applyNumberFormat="0" applyBorder="0" applyAlignment="0" applyProtection="0"/>
    <xf numFmtId="0" fontId="9" fillId="31" borderId="0" applyNumberFormat="0" applyBorder="0" applyAlignment="0" applyProtection="0"/>
    <xf numFmtId="0" fontId="73" fillId="31" borderId="0" applyNumberFormat="0" applyBorder="0" applyAlignment="0" applyProtection="0"/>
    <xf numFmtId="0" fontId="75" fillId="40" borderId="0" applyNumberFormat="0" applyBorder="0" applyAlignment="0" applyProtection="0"/>
    <xf numFmtId="0" fontId="9" fillId="12" borderId="0" applyNumberFormat="0" applyBorder="0" applyAlignment="0" applyProtection="0"/>
    <xf numFmtId="0" fontId="73" fillId="12" borderId="0" applyNumberFormat="0" applyBorder="0" applyAlignment="0" applyProtection="0"/>
    <xf numFmtId="0" fontId="75" fillId="41" borderId="0" applyNumberFormat="0" applyBorder="0" applyAlignment="0" applyProtection="0"/>
    <xf numFmtId="0" fontId="9" fillId="16" borderId="0" applyNumberFormat="0" applyBorder="0" applyAlignment="0" applyProtection="0"/>
    <xf numFmtId="0" fontId="73" fillId="16" borderId="0" applyNumberFormat="0" applyBorder="0" applyAlignment="0" applyProtection="0"/>
    <xf numFmtId="0" fontId="75" fillId="42" borderId="0" applyNumberFormat="0" applyBorder="0" applyAlignment="0" applyProtection="0"/>
    <xf numFmtId="0" fontId="9" fillId="20" borderId="0" applyNumberFormat="0" applyBorder="0" applyAlignment="0" applyProtection="0"/>
    <xf numFmtId="0" fontId="73" fillId="20" borderId="0" applyNumberFormat="0" applyBorder="0" applyAlignment="0" applyProtection="0"/>
    <xf numFmtId="0" fontId="75" fillId="37" borderId="0" applyNumberFormat="0" applyBorder="0" applyAlignment="0" applyProtection="0"/>
    <xf numFmtId="0" fontId="9" fillId="24" borderId="0" applyNumberFormat="0" applyBorder="0" applyAlignment="0" applyProtection="0"/>
    <xf numFmtId="0" fontId="73" fillId="24" borderId="0" applyNumberFormat="0" applyBorder="0" applyAlignment="0" applyProtection="0"/>
    <xf numFmtId="0" fontId="75" fillId="40" borderId="0" applyNumberFormat="0" applyBorder="0" applyAlignment="0" applyProtection="0"/>
    <xf numFmtId="0" fontId="9" fillId="28" borderId="0" applyNumberFormat="0" applyBorder="0" applyAlignment="0" applyProtection="0"/>
    <xf numFmtId="0" fontId="73" fillId="28" borderId="0" applyNumberFormat="0" applyBorder="0" applyAlignment="0" applyProtection="0"/>
    <xf numFmtId="0" fontId="75" fillId="43" borderId="0" applyNumberFormat="0" applyBorder="0" applyAlignment="0" applyProtection="0"/>
    <xf numFmtId="0" fontId="9" fillId="32" borderId="0" applyNumberFormat="0" applyBorder="0" applyAlignment="0" applyProtection="0"/>
    <xf numFmtId="0" fontId="73" fillId="32" borderId="0" applyNumberFormat="0" applyBorder="0" applyAlignment="0" applyProtection="0"/>
    <xf numFmtId="0" fontId="76" fillId="44" borderId="0" applyNumberFormat="0" applyBorder="0" applyAlignment="0" applyProtection="0"/>
    <xf numFmtId="0" fontId="54" fillId="13" borderId="0" applyNumberFormat="0" applyBorder="0" applyAlignment="0" applyProtection="0"/>
    <xf numFmtId="0" fontId="105" fillId="13" borderId="0" applyNumberFormat="0" applyBorder="0" applyAlignment="0" applyProtection="0"/>
    <xf numFmtId="0" fontId="76" fillId="41" borderId="0" applyNumberFormat="0" applyBorder="0" applyAlignment="0" applyProtection="0"/>
    <xf numFmtId="0" fontId="54" fillId="17" borderId="0" applyNumberFormat="0" applyBorder="0" applyAlignment="0" applyProtection="0"/>
    <xf numFmtId="0" fontId="105" fillId="17" borderId="0" applyNumberFormat="0" applyBorder="0" applyAlignment="0" applyProtection="0"/>
    <xf numFmtId="0" fontId="76" fillId="42" borderId="0" applyNumberFormat="0" applyBorder="0" applyAlignment="0" applyProtection="0"/>
    <xf numFmtId="0" fontId="54" fillId="21" borderId="0" applyNumberFormat="0" applyBorder="0" applyAlignment="0" applyProtection="0"/>
    <xf numFmtId="0" fontId="105" fillId="21" borderId="0" applyNumberFormat="0" applyBorder="0" applyAlignment="0" applyProtection="0"/>
    <xf numFmtId="0" fontId="76" fillId="45" borderId="0" applyNumberFormat="0" applyBorder="0" applyAlignment="0" applyProtection="0"/>
    <xf numFmtId="0" fontId="54" fillId="25" borderId="0" applyNumberFormat="0" applyBorder="0" applyAlignment="0" applyProtection="0"/>
    <xf numFmtId="0" fontId="105" fillId="25" borderId="0" applyNumberFormat="0" applyBorder="0" applyAlignment="0" applyProtection="0"/>
    <xf numFmtId="0" fontId="76" fillId="46" borderId="0" applyNumberFormat="0" applyBorder="0" applyAlignment="0" applyProtection="0"/>
    <xf numFmtId="0" fontId="54" fillId="29" borderId="0" applyNumberFormat="0" applyBorder="0" applyAlignment="0" applyProtection="0"/>
    <xf numFmtId="0" fontId="105" fillId="29" borderId="0" applyNumberFormat="0" applyBorder="0" applyAlignment="0" applyProtection="0"/>
    <xf numFmtId="0" fontId="76" fillId="47" borderId="0" applyNumberFormat="0" applyBorder="0" applyAlignment="0" applyProtection="0"/>
    <xf numFmtId="0" fontId="54" fillId="33" borderId="0" applyNumberFormat="0" applyBorder="0" applyAlignment="0" applyProtection="0"/>
    <xf numFmtId="0" fontId="105" fillId="33" borderId="0" applyNumberFormat="0" applyBorder="0" applyAlignment="0" applyProtection="0"/>
    <xf numFmtId="0" fontId="76" fillId="48" borderId="0" applyNumberFormat="0" applyBorder="0" applyAlignment="0" applyProtection="0"/>
    <xf numFmtId="0" fontId="54" fillId="10" borderId="0" applyNumberFormat="0" applyBorder="0" applyAlignment="0" applyProtection="0"/>
    <xf numFmtId="0" fontId="105" fillId="10" borderId="0" applyNumberFormat="0" applyBorder="0" applyAlignment="0" applyProtection="0"/>
    <xf numFmtId="0" fontId="76" fillId="49" borderId="0" applyNumberFormat="0" applyBorder="0" applyAlignment="0" applyProtection="0"/>
    <xf numFmtId="0" fontId="54" fillId="14" borderId="0" applyNumberFormat="0" applyBorder="0" applyAlignment="0" applyProtection="0"/>
    <xf numFmtId="0" fontId="105" fillId="14" borderId="0" applyNumberFormat="0" applyBorder="0" applyAlignment="0" applyProtection="0"/>
    <xf numFmtId="0" fontId="76" fillId="50" borderId="0" applyNumberFormat="0" applyBorder="0" applyAlignment="0" applyProtection="0"/>
    <xf numFmtId="0" fontId="54" fillId="18" borderId="0" applyNumberFormat="0" applyBorder="0" applyAlignment="0" applyProtection="0"/>
    <xf numFmtId="0" fontId="105" fillId="18" borderId="0" applyNumberFormat="0" applyBorder="0" applyAlignment="0" applyProtection="0"/>
    <xf numFmtId="0" fontId="76" fillId="45" borderId="0" applyNumberFormat="0" applyBorder="0" applyAlignment="0" applyProtection="0"/>
    <xf numFmtId="0" fontId="54" fillId="22" borderId="0" applyNumberFormat="0" applyBorder="0" applyAlignment="0" applyProtection="0"/>
    <xf numFmtId="0" fontId="105" fillId="22" borderId="0" applyNumberFormat="0" applyBorder="0" applyAlignment="0" applyProtection="0"/>
    <xf numFmtId="0" fontId="76" fillId="46" borderId="0" applyNumberFormat="0" applyBorder="0" applyAlignment="0" applyProtection="0"/>
    <xf numFmtId="0" fontId="54" fillId="26" borderId="0" applyNumberFormat="0" applyBorder="0" applyAlignment="0" applyProtection="0"/>
    <xf numFmtId="0" fontId="105" fillId="26" borderId="0" applyNumberFormat="0" applyBorder="0" applyAlignment="0" applyProtection="0"/>
    <xf numFmtId="0" fontId="76" fillId="51" borderId="0" applyNumberFormat="0" applyBorder="0" applyAlignment="0" applyProtection="0"/>
    <xf numFmtId="0" fontId="54" fillId="30" borderId="0" applyNumberFormat="0" applyBorder="0" applyAlignment="0" applyProtection="0"/>
    <xf numFmtId="0" fontId="105" fillId="30" borderId="0" applyNumberFormat="0" applyBorder="0" applyAlignment="0" applyProtection="0"/>
    <xf numFmtId="0" fontId="77" fillId="35" borderId="0" applyNumberFormat="0" applyBorder="0" applyAlignment="0" applyProtection="0"/>
    <xf numFmtId="0" fontId="44" fillId="4" borderId="0" applyNumberFormat="0" applyBorder="0" applyAlignment="0" applyProtection="0"/>
    <xf numFmtId="0" fontId="95" fillId="4" borderId="0" applyNumberFormat="0" applyBorder="0" applyAlignment="0" applyProtection="0"/>
    <xf numFmtId="0" fontId="78" fillId="52" borderId="29" applyNumberFormat="0" applyAlignment="0" applyProtection="0"/>
    <xf numFmtId="0" fontId="48" fillId="7" borderId="23" applyNumberFormat="0" applyAlignment="0" applyProtection="0"/>
    <xf numFmtId="0" fontId="99" fillId="7" borderId="23" applyNumberFormat="0" applyAlignment="0" applyProtection="0"/>
    <xf numFmtId="0" fontId="79" fillId="53" borderId="30" applyNumberFormat="0" applyAlignment="0" applyProtection="0"/>
    <xf numFmtId="0" fontId="50" fillId="8" borderId="26" applyNumberFormat="0" applyAlignment="0" applyProtection="0"/>
    <xf numFmtId="0" fontId="101" fillId="8" borderId="26" applyNumberFormat="0" applyAlignment="0" applyProtection="0"/>
    <xf numFmtId="0" fontId="80" fillId="0" borderId="0" applyNumberFormat="0" applyFill="0" applyBorder="0" applyAlignment="0" applyProtection="0"/>
    <xf numFmtId="0" fontId="52" fillId="0" borderId="0" applyNumberFormat="0" applyFill="0" applyBorder="0" applyAlignment="0" applyProtection="0"/>
    <xf numFmtId="0" fontId="103" fillId="0" borderId="0" applyNumberFormat="0" applyFill="0" applyBorder="0" applyAlignment="0" applyProtection="0"/>
    <xf numFmtId="0" fontId="81" fillId="36" borderId="0" applyNumberFormat="0" applyBorder="0" applyAlignment="0" applyProtection="0"/>
    <xf numFmtId="0" fontId="43" fillId="3" borderId="0" applyNumberFormat="0" applyBorder="0" applyAlignment="0" applyProtection="0"/>
    <xf numFmtId="0" fontId="94" fillId="3" borderId="0" applyNumberFormat="0" applyBorder="0" applyAlignment="0" applyProtection="0"/>
    <xf numFmtId="0" fontId="82" fillId="0" borderId="31" applyNumberFormat="0" applyFill="0" applyAlignment="0" applyProtection="0"/>
    <xf numFmtId="0" fontId="40" fillId="0" borderId="20" applyNumberFormat="0" applyFill="0" applyAlignment="0" applyProtection="0"/>
    <xf numFmtId="0" fontId="91" fillId="0" borderId="20" applyNumberFormat="0" applyFill="0" applyAlignment="0" applyProtection="0"/>
    <xf numFmtId="0" fontId="83" fillId="0" borderId="32" applyNumberFormat="0" applyFill="0" applyAlignment="0" applyProtection="0"/>
    <xf numFmtId="0" fontId="41" fillId="0" borderId="21" applyNumberFormat="0" applyFill="0" applyAlignment="0" applyProtection="0"/>
    <xf numFmtId="0" fontId="92" fillId="0" borderId="21" applyNumberFormat="0" applyFill="0" applyAlignment="0" applyProtection="0"/>
    <xf numFmtId="0" fontId="84" fillId="0" borderId="33" applyNumberFormat="0" applyFill="0" applyAlignment="0" applyProtection="0"/>
    <xf numFmtId="0" fontId="42" fillId="0" borderId="22" applyNumberFormat="0" applyFill="0" applyAlignment="0" applyProtection="0"/>
    <xf numFmtId="0" fontId="93" fillId="0" borderId="22" applyNumberFormat="0" applyFill="0" applyAlignment="0" applyProtection="0"/>
    <xf numFmtId="0" fontId="84" fillId="0" borderId="0" applyNumberFormat="0" applyFill="0" applyBorder="0" applyAlignment="0" applyProtection="0"/>
    <xf numFmtId="0" fontId="42" fillId="0" borderId="0" applyNumberFormat="0" applyFill="0" applyBorder="0" applyAlignment="0" applyProtection="0"/>
    <xf numFmtId="0" fontId="93" fillId="0" borderId="0" applyNumberFormat="0" applyFill="0" applyBorder="0" applyAlignment="0" applyProtection="0"/>
    <xf numFmtId="0" fontId="85" fillId="39" borderId="29" applyNumberFormat="0" applyAlignment="0" applyProtection="0"/>
    <xf numFmtId="0" fontId="46" fillId="6" borderId="23" applyNumberFormat="0" applyAlignment="0" applyProtection="0"/>
    <xf numFmtId="0" fontId="97" fillId="6" borderId="23" applyNumberFormat="0" applyAlignment="0" applyProtection="0"/>
    <xf numFmtId="0" fontId="86" fillId="0" borderId="34" applyNumberFormat="0" applyFill="0" applyAlignment="0" applyProtection="0"/>
    <xf numFmtId="0" fontId="49" fillId="0" borderId="25" applyNumberFormat="0" applyFill="0" applyAlignment="0" applyProtection="0"/>
    <xf numFmtId="0" fontId="100" fillId="0" borderId="25" applyNumberFormat="0" applyFill="0" applyAlignment="0" applyProtection="0"/>
    <xf numFmtId="0" fontId="87" fillId="54" borderId="0" applyNumberFormat="0" applyBorder="0" applyAlignment="0" applyProtection="0"/>
    <xf numFmtId="0" fontId="45" fillId="5" borderId="0" applyNumberFormat="0" applyBorder="0" applyAlignment="0" applyProtection="0"/>
    <xf numFmtId="0" fontId="96" fillId="5" borderId="0" applyNumberFormat="0" applyBorder="0" applyAlignment="0" applyProtection="0"/>
    <xf numFmtId="0" fontId="13" fillId="0" borderId="0"/>
    <xf numFmtId="0" fontId="13" fillId="0" borderId="0"/>
    <xf numFmtId="0" fontId="13" fillId="0" borderId="0"/>
    <xf numFmtId="0" fontId="13" fillId="55" borderId="35" applyNumberFormat="0" applyFont="0" applyAlignment="0" applyProtection="0"/>
    <xf numFmtId="0" fontId="9" fillId="9" borderId="27" applyNumberFormat="0" applyFont="0" applyAlignment="0" applyProtection="0"/>
    <xf numFmtId="0" fontId="88" fillId="52" borderId="36" applyNumberFormat="0" applyAlignment="0" applyProtection="0"/>
    <xf numFmtId="0" fontId="47" fillId="7" borderId="24" applyNumberFormat="0" applyAlignment="0" applyProtection="0"/>
    <xf numFmtId="0" fontId="98" fillId="7" borderId="24" applyNumberFormat="0" applyAlignment="0" applyProtection="0"/>
    <xf numFmtId="0" fontId="39" fillId="0" borderId="0" applyNumberFormat="0" applyFill="0" applyBorder="0" applyAlignment="0" applyProtection="0"/>
    <xf numFmtId="0" fontId="89" fillId="0" borderId="37" applyNumberFormat="0" applyFill="0" applyAlignment="0" applyProtection="0"/>
    <xf numFmtId="0" fontId="53" fillId="0" borderId="28" applyNumberFormat="0" applyFill="0" applyAlignment="0" applyProtection="0"/>
    <xf numFmtId="0" fontId="104" fillId="0" borderId="28" applyNumberFormat="0" applyFill="0" applyAlignment="0" applyProtection="0"/>
    <xf numFmtId="0" fontId="90"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5" fillId="42" borderId="0" applyNumberFormat="0" applyBorder="0" applyAlignment="0" applyProtection="0"/>
    <xf numFmtId="0" fontId="73" fillId="20" borderId="0" applyNumberFormat="0" applyBorder="0" applyAlignment="0" applyProtection="0"/>
    <xf numFmtId="0" fontId="75" fillId="37" borderId="0" applyNumberFormat="0" applyBorder="0" applyAlignment="0" applyProtection="0"/>
    <xf numFmtId="0" fontId="73" fillId="24" borderId="0" applyNumberFormat="0" applyBorder="0" applyAlignment="0" applyProtection="0"/>
    <xf numFmtId="0" fontId="75" fillId="40" borderId="0" applyNumberFormat="0" applyBorder="0" applyAlignment="0" applyProtection="0"/>
    <xf numFmtId="0" fontId="73" fillId="28" borderId="0" applyNumberFormat="0" applyBorder="0" applyAlignment="0" applyProtection="0"/>
    <xf numFmtId="0" fontId="75" fillId="43" borderId="0" applyNumberFormat="0" applyBorder="0" applyAlignment="0" applyProtection="0"/>
    <xf numFmtId="0" fontId="73" fillId="32" borderId="0" applyNumberFormat="0" applyBorder="0" applyAlignment="0" applyProtection="0"/>
    <xf numFmtId="0" fontId="76" fillId="44" borderId="0" applyNumberFormat="0" applyBorder="0" applyAlignment="0" applyProtection="0"/>
    <xf numFmtId="0" fontId="105" fillId="13" borderId="0" applyNumberFormat="0" applyBorder="0" applyAlignment="0" applyProtection="0"/>
    <xf numFmtId="0" fontId="76" fillId="41" borderId="0" applyNumberFormat="0" applyBorder="0" applyAlignment="0" applyProtection="0"/>
    <xf numFmtId="0" fontId="105" fillId="17" borderId="0" applyNumberFormat="0" applyBorder="0" applyAlignment="0" applyProtection="0"/>
    <xf numFmtId="0" fontId="76" fillId="42" borderId="0" applyNumberFormat="0" applyBorder="0" applyAlignment="0" applyProtection="0"/>
    <xf numFmtId="0" fontId="105" fillId="21" borderId="0" applyNumberFormat="0" applyBorder="0" applyAlignment="0" applyProtection="0"/>
    <xf numFmtId="0" fontId="76" fillId="45" borderId="0" applyNumberFormat="0" applyBorder="0" applyAlignment="0" applyProtection="0"/>
    <xf numFmtId="0" fontId="105" fillId="25" borderId="0" applyNumberFormat="0" applyBorder="0" applyAlignment="0" applyProtection="0"/>
    <xf numFmtId="0" fontId="76" fillId="46" borderId="0" applyNumberFormat="0" applyBorder="0" applyAlignment="0" applyProtection="0"/>
    <xf numFmtId="0" fontId="105" fillId="29" borderId="0" applyNumberFormat="0" applyBorder="0" applyAlignment="0" applyProtection="0"/>
    <xf numFmtId="0" fontId="76" fillId="47" borderId="0" applyNumberFormat="0" applyBorder="0" applyAlignment="0" applyProtection="0"/>
    <xf numFmtId="0" fontId="105" fillId="33" borderId="0" applyNumberFormat="0" applyBorder="0" applyAlignment="0" applyProtection="0"/>
    <xf numFmtId="0" fontId="76" fillId="48" borderId="0" applyNumberFormat="0" applyBorder="0" applyAlignment="0" applyProtection="0"/>
    <xf numFmtId="0" fontId="105" fillId="10" borderId="0" applyNumberFormat="0" applyBorder="0" applyAlignment="0" applyProtection="0"/>
    <xf numFmtId="0" fontId="76" fillId="49" borderId="0" applyNumberFormat="0" applyBorder="0" applyAlignment="0" applyProtection="0"/>
    <xf numFmtId="0" fontId="105" fillId="14" borderId="0" applyNumberFormat="0" applyBorder="0" applyAlignment="0" applyProtection="0"/>
    <xf numFmtId="0" fontId="76" fillId="50" borderId="0" applyNumberFormat="0" applyBorder="0" applyAlignment="0" applyProtection="0"/>
    <xf numFmtId="0" fontId="105" fillId="18" borderId="0" applyNumberFormat="0" applyBorder="0" applyAlignment="0" applyProtection="0"/>
    <xf numFmtId="0" fontId="76" fillId="45" borderId="0" applyNumberFormat="0" applyBorder="0" applyAlignment="0" applyProtection="0"/>
    <xf numFmtId="0" fontId="105" fillId="22" borderId="0" applyNumberFormat="0" applyBorder="0" applyAlignment="0" applyProtection="0"/>
    <xf numFmtId="0" fontId="76" fillId="46" borderId="0" applyNumberFormat="0" applyBorder="0" applyAlignment="0" applyProtection="0"/>
    <xf numFmtId="0" fontId="105" fillId="26" borderId="0" applyNumberFormat="0" applyBorder="0" applyAlignment="0" applyProtection="0"/>
    <xf numFmtId="0" fontId="76" fillId="51" borderId="0" applyNumberFormat="0" applyBorder="0" applyAlignment="0" applyProtection="0"/>
    <xf numFmtId="0" fontId="105" fillId="30" borderId="0" applyNumberFormat="0" applyBorder="0" applyAlignment="0" applyProtection="0"/>
    <xf numFmtId="0" fontId="77" fillId="35" borderId="0" applyNumberFormat="0" applyBorder="0" applyAlignment="0" applyProtection="0"/>
    <xf numFmtId="0" fontId="95" fillId="4" borderId="0" applyNumberFormat="0" applyBorder="0" applyAlignment="0" applyProtection="0"/>
    <xf numFmtId="0" fontId="78" fillId="52" borderId="29" applyNumberFormat="0" applyAlignment="0" applyProtection="0"/>
    <xf numFmtId="0" fontId="99" fillId="7" borderId="23" applyNumberFormat="0" applyAlignment="0" applyProtection="0"/>
    <xf numFmtId="0" fontId="79" fillId="53" borderId="30" applyNumberFormat="0" applyAlignment="0" applyProtection="0"/>
    <xf numFmtId="0" fontId="101" fillId="8" borderId="26" applyNumberFormat="0" applyAlignment="0" applyProtection="0"/>
    <xf numFmtId="0" fontId="80" fillId="0" borderId="0" applyNumberFormat="0" applyFill="0" applyBorder="0" applyAlignment="0" applyProtection="0"/>
    <xf numFmtId="0" fontId="103" fillId="0" borderId="0" applyNumberFormat="0" applyFill="0" applyBorder="0" applyAlignment="0" applyProtection="0"/>
    <xf numFmtId="0" fontId="81" fillId="36" borderId="0" applyNumberFormat="0" applyBorder="0" applyAlignment="0" applyProtection="0"/>
    <xf numFmtId="0" fontId="94" fillId="3" borderId="0" applyNumberFormat="0" applyBorder="0" applyAlignment="0" applyProtection="0"/>
    <xf numFmtId="0" fontId="82" fillId="0" borderId="31" applyNumberFormat="0" applyFill="0" applyAlignment="0" applyProtection="0"/>
    <xf numFmtId="0" fontId="91" fillId="0" borderId="20" applyNumberFormat="0" applyFill="0" applyAlignment="0" applyProtection="0"/>
    <xf numFmtId="0" fontId="83" fillId="0" borderId="32" applyNumberFormat="0" applyFill="0" applyAlignment="0" applyProtection="0"/>
    <xf numFmtId="0" fontId="92" fillId="0" borderId="21" applyNumberFormat="0" applyFill="0" applyAlignment="0" applyProtection="0"/>
    <xf numFmtId="0" fontId="84" fillId="0" borderId="33" applyNumberFormat="0" applyFill="0" applyAlignment="0" applyProtection="0"/>
    <xf numFmtId="0" fontId="93" fillId="0" borderId="22" applyNumberFormat="0" applyFill="0" applyAlignment="0" applyProtection="0"/>
    <xf numFmtId="0" fontId="84" fillId="0" borderId="0" applyNumberFormat="0" applyFill="0" applyBorder="0" applyAlignment="0" applyProtection="0"/>
    <xf numFmtId="0" fontId="93" fillId="0" borderId="0" applyNumberFormat="0" applyFill="0" applyBorder="0" applyAlignment="0" applyProtection="0"/>
    <xf numFmtId="0" fontId="85" fillId="39" borderId="29" applyNumberFormat="0" applyAlignment="0" applyProtection="0"/>
    <xf numFmtId="0" fontId="97" fillId="6" borderId="23" applyNumberFormat="0" applyAlignment="0" applyProtection="0"/>
    <xf numFmtId="0" fontId="86" fillId="0" borderId="34" applyNumberFormat="0" applyFill="0" applyAlignment="0" applyProtection="0"/>
    <xf numFmtId="0" fontId="100" fillId="0" borderId="25" applyNumberFormat="0" applyFill="0" applyAlignment="0" applyProtection="0"/>
    <xf numFmtId="0" fontId="87" fillId="54" borderId="0" applyNumberFormat="0" applyBorder="0" applyAlignment="0" applyProtection="0"/>
    <xf numFmtId="0" fontId="96" fillId="5" borderId="0" applyNumberFormat="0" applyBorder="0" applyAlignment="0" applyProtection="0"/>
    <xf numFmtId="0" fontId="13" fillId="0" borderId="0"/>
    <xf numFmtId="0" fontId="13" fillId="55" borderId="35" applyNumberFormat="0" applyFont="0" applyAlignment="0" applyProtection="0"/>
    <xf numFmtId="0" fontId="88" fillId="52" borderId="36" applyNumberFormat="0" applyAlignment="0" applyProtection="0"/>
    <xf numFmtId="0" fontId="98" fillId="7" borderId="24" applyNumberFormat="0" applyAlignment="0" applyProtection="0"/>
    <xf numFmtId="0" fontId="89" fillId="0" borderId="37" applyNumberFormat="0" applyFill="0" applyAlignment="0" applyProtection="0"/>
    <xf numFmtId="0" fontId="104" fillId="0" borderId="28" applyNumberFormat="0" applyFill="0" applyAlignment="0" applyProtection="0"/>
    <xf numFmtId="0" fontId="90" fillId="0" borderId="0" applyNumberFormat="0" applyFill="0" applyBorder="0" applyAlignment="0" applyProtection="0"/>
    <xf numFmtId="0" fontId="102" fillId="0" borderId="0" applyNumberForma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3" fillId="0" borderId="0" applyFont="0" applyFill="0" applyBorder="0" applyAlignment="0" applyProtection="0"/>
    <xf numFmtId="0" fontId="13" fillId="0" borderId="0"/>
    <xf numFmtId="0" fontId="9" fillId="0" borderId="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23" applyNumberFormat="0" applyAlignment="0" applyProtection="0"/>
    <xf numFmtId="0" fontId="47" fillId="7" borderId="24" applyNumberFormat="0" applyAlignment="0" applyProtection="0"/>
    <xf numFmtId="0" fontId="48" fillId="7" borderId="23" applyNumberFormat="0" applyAlignment="0" applyProtection="0"/>
    <xf numFmtId="0" fontId="49" fillId="0" borderId="25" applyNumberFormat="0" applyFill="0" applyAlignment="0" applyProtection="0"/>
    <xf numFmtId="0" fontId="50" fillId="8" borderId="26" applyNumberFormat="0" applyAlignment="0" applyProtection="0"/>
    <xf numFmtId="0" fontId="51" fillId="0" borderId="0" applyNumberFormat="0" applyFill="0" applyBorder="0" applyAlignment="0" applyProtection="0"/>
    <xf numFmtId="0" fontId="9" fillId="9" borderId="27" applyNumberFormat="0" applyFont="0" applyAlignment="0" applyProtection="0"/>
    <xf numFmtId="0" fontId="52" fillId="0" borderId="0" applyNumberFormat="0" applyFill="0" applyBorder="0" applyAlignment="0" applyProtection="0"/>
    <xf numFmtId="0" fontId="53" fillId="0" borderId="28" applyNumberFormat="0" applyFill="0" applyAlignment="0" applyProtection="0"/>
    <xf numFmtId="0" fontId="5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4" fillId="33" borderId="0" applyNumberFormat="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9" fillId="9" borderId="27" applyNumberFormat="0" applyFont="0" applyAlignment="0" applyProtection="0"/>
    <xf numFmtId="0" fontId="9" fillId="19" borderId="0" applyNumberFormat="0" applyBorder="0" applyAlignment="0" applyProtection="0"/>
    <xf numFmtId="0" fontId="9" fillId="0" borderId="0"/>
    <xf numFmtId="0" fontId="9" fillId="16"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0" borderId="0"/>
    <xf numFmtId="0" fontId="9" fillId="9" borderId="27"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3" fillId="0" borderId="0"/>
    <xf numFmtId="0" fontId="13" fillId="0" borderId="0"/>
    <xf numFmtId="0" fontId="13" fillId="0" borderId="0"/>
    <xf numFmtId="0" fontId="75" fillId="34" borderId="0" applyNumberFormat="0" applyBorder="0" applyAlignment="0" applyProtection="0"/>
    <xf numFmtId="0" fontId="13" fillId="0" borderId="0"/>
    <xf numFmtId="0" fontId="13" fillId="0" borderId="0"/>
    <xf numFmtId="0" fontId="76" fillId="46" borderId="0" applyNumberFormat="0" applyBorder="0" applyAlignment="0" applyProtection="0"/>
    <xf numFmtId="0" fontId="13" fillId="0" borderId="0"/>
    <xf numFmtId="0" fontId="75" fillId="35" borderId="0" applyNumberFormat="0" applyBorder="0" applyAlignment="0" applyProtection="0"/>
    <xf numFmtId="0" fontId="13" fillId="0" borderId="0"/>
    <xf numFmtId="0" fontId="13" fillId="0" borderId="0"/>
    <xf numFmtId="0" fontId="75" fillId="40"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6" fillId="44" borderId="0" applyNumberFormat="0" applyBorder="0" applyAlignment="0" applyProtection="0"/>
    <xf numFmtId="0" fontId="9" fillId="0" borderId="0"/>
    <xf numFmtId="0" fontId="75" fillId="43" borderId="0" applyNumberFormat="0" applyBorder="0" applyAlignment="0" applyProtection="0"/>
    <xf numFmtId="0" fontId="75" fillId="38" borderId="0" applyNumberFormat="0" applyBorder="0" applyAlignment="0" applyProtection="0"/>
    <xf numFmtId="0" fontId="75" fillId="40" borderId="0" applyNumberFormat="0" applyBorder="0" applyAlignment="0" applyProtection="0"/>
    <xf numFmtId="0" fontId="75" fillId="37" borderId="0" applyNumberFormat="0" applyBorder="0" applyAlignment="0" applyProtection="0"/>
    <xf numFmtId="0" fontId="9" fillId="0" borderId="0"/>
    <xf numFmtId="0" fontId="75" fillId="42" borderId="0" applyNumberFormat="0" applyBorder="0" applyAlignment="0" applyProtection="0"/>
    <xf numFmtId="0" fontId="75" fillId="41" borderId="0" applyNumberFormat="0" applyBorder="0" applyAlignment="0" applyProtection="0"/>
    <xf numFmtId="0" fontId="75" fillId="37"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5" fillId="39" borderId="0" applyNumberFormat="0" applyBorder="0" applyAlignment="0" applyProtection="0"/>
    <xf numFmtId="0" fontId="9" fillId="0" borderId="0"/>
    <xf numFmtId="0" fontId="75" fillId="36"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9" fillId="0" borderId="0"/>
    <xf numFmtId="0" fontId="9" fillId="0" borderId="0"/>
    <xf numFmtId="0" fontId="9" fillId="0" borderId="0"/>
    <xf numFmtId="43" fontId="13" fillId="0" borderId="0" applyFont="0" applyFill="0" applyBorder="0" applyAlignment="0" applyProtection="0"/>
    <xf numFmtId="0" fontId="90" fillId="0" borderId="0" applyNumberFormat="0" applyFill="0" applyBorder="0" applyAlignment="0" applyProtection="0"/>
    <xf numFmtId="0" fontId="89" fillId="0" borderId="37" applyNumberFormat="0" applyFill="0" applyAlignment="0" applyProtection="0"/>
    <xf numFmtId="0" fontId="70" fillId="0" borderId="0" applyNumberFormat="0" applyFill="0" applyBorder="0" applyAlignment="0" applyProtection="0"/>
    <xf numFmtId="0" fontId="13" fillId="0" borderId="0"/>
    <xf numFmtId="0" fontId="13" fillId="0" borderId="0"/>
    <xf numFmtId="0" fontId="88" fillId="52" borderId="36" applyNumberFormat="0" applyAlignment="0" applyProtection="0"/>
    <xf numFmtId="0" fontId="13" fillId="55" borderId="35" applyNumberFormat="0" applyFont="0" applyAlignment="0" applyProtection="0"/>
    <xf numFmtId="0" fontId="87" fillId="54" borderId="0" applyNumberFormat="0" applyBorder="0" applyAlignment="0" applyProtection="0"/>
    <xf numFmtId="0" fontId="86" fillId="0" borderId="34" applyNumberFormat="0" applyFill="0" applyAlignment="0" applyProtection="0"/>
    <xf numFmtId="0" fontId="85" fillId="39" borderId="29" applyNumberFormat="0" applyAlignment="0" applyProtection="0"/>
    <xf numFmtId="0" fontId="84" fillId="0" borderId="0" applyNumberFormat="0" applyFill="0" applyBorder="0" applyAlignment="0" applyProtection="0"/>
    <xf numFmtId="0" fontId="84" fillId="0" borderId="33" applyNumberFormat="0" applyFill="0" applyAlignment="0" applyProtection="0"/>
    <xf numFmtId="0" fontId="83" fillId="0" borderId="32" applyNumberFormat="0" applyFill="0" applyAlignment="0" applyProtection="0"/>
    <xf numFmtId="0" fontId="82" fillId="0" borderId="31" applyNumberFormat="0" applyFill="0" applyAlignment="0" applyProtection="0"/>
    <xf numFmtId="0" fontId="81" fillId="36" borderId="0" applyNumberFormat="0" applyBorder="0" applyAlignment="0" applyProtection="0"/>
    <xf numFmtId="0" fontId="80" fillId="0" borderId="0" applyNumberFormat="0" applyFill="0" applyBorder="0" applyAlignment="0" applyProtection="0"/>
    <xf numFmtId="0" fontId="79" fillId="53" borderId="30" applyNumberFormat="0" applyAlignment="0" applyProtection="0"/>
    <xf numFmtId="0" fontId="78" fillId="52" borderId="29" applyNumberFormat="0" applyAlignment="0" applyProtection="0"/>
    <xf numFmtId="0" fontId="77" fillId="3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45"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76" fillId="48"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2" borderId="0" applyNumberFormat="0" applyBorder="0" applyAlignment="0" applyProtection="0"/>
    <xf numFmtId="0" fontId="76" fillId="41" borderId="0" applyNumberFormat="0" applyBorder="0" applyAlignment="0" applyProtection="0"/>
    <xf numFmtId="0" fontId="13"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13" fillId="0" borderId="0"/>
    <xf numFmtId="0" fontId="70" fillId="0" borderId="0" applyNumberFormat="0" applyFill="0" applyBorder="0" applyAlignment="0" applyProtection="0"/>
    <xf numFmtId="0" fontId="9" fillId="0" borderId="0"/>
    <xf numFmtId="0" fontId="75" fillId="41" borderId="0" applyNumberFormat="0" applyBorder="0" applyAlignment="0" applyProtection="0"/>
    <xf numFmtId="0" fontId="75" fillId="36" borderId="0" applyNumberFormat="0" applyBorder="0" applyAlignment="0" applyProtection="0"/>
    <xf numFmtId="0" fontId="75" fillId="35"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42" borderId="0" applyNumberFormat="0" applyBorder="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0" fontId="57" fillId="46" borderId="0" applyNumberFormat="0" applyBorder="0" applyAlignment="0" applyProtection="0"/>
    <xf numFmtId="0" fontId="57" fillId="45" borderId="0" applyNumberFormat="0" applyBorder="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57" fillId="42" borderId="0" applyNumberFormat="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56" fillId="40" borderId="0" applyNumberFormat="0" applyBorder="0" applyAlignment="0" applyProtection="0"/>
    <xf numFmtId="0" fontId="56" fillId="37"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56" fillId="41" borderId="0" applyNumberFormat="0" applyBorder="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4" borderId="0" applyNumberFormat="0" applyBorder="0" applyAlignment="0" applyProtection="0"/>
    <xf numFmtId="0" fontId="67" fillId="0" borderId="34" applyNumberFormat="0" applyFill="0" applyAlignment="0" applyProtection="0"/>
    <xf numFmtId="0" fontId="72" fillId="0" borderId="0" applyNumberFormat="0" applyFill="0" applyBorder="0" applyAlignment="0" applyProtection="0"/>
    <xf numFmtId="0" fontId="71" fillId="0" borderId="37" applyNumberFormat="0" applyFill="0" applyAlignment="0" applyProtection="0"/>
    <xf numFmtId="0" fontId="70" fillId="0" borderId="0" applyNumberFormat="0" applyFill="0" applyBorder="0" applyAlignment="0" applyProtection="0"/>
    <xf numFmtId="0" fontId="56" fillId="37" borderId="0" applyNumberFormat="0" applyBorder="0" applyAlignment="0" applyProtection="0"/>
    <xf numFmtId="0" fontId="69" fillId="52" borderId="36" applyNumberFormat="0" applyAlignment="0" applyProtection="0"/>
    <xf numFmtId="0" fontId="13" fillId="55" borderId="35" applyNumberFormat="0" applyFont="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68" fillId="54" borderId="0" applyNumberFormat="0" applyBorder="0" applyAlignment="0" applyProtection="0"/>
    <xf numFmtId="0" fontId="67" fillId="0" borderId="34" applyNumberFormat="0" applyFill="0" applyAlignment="0" applyProtection="0"/>
    <xf numFmtId="0" fontId="66" fillId="39" borderId="2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5" fillId="0" borderId="33" applyNumberFormat="0" applyFill="0" applyAlignment="0" applyProtection="0"/>
    <xf numFmtId="0" fontId="64" fillId="0" borderId="32" applyNumberFormat="0" applyFill="0" applyAlignment="0" applyProtection="0"/>
    <xf numFmtId="0" fontId="63" fillId="0" borderId="31" applyNumberFormat="0" applyFill="0" applyAlignment="0" applyProtection="0"/>
    <xf numFmtId="0" fontId="62" fillId="36" borderId="0" applyNumberFormat="0" applyBorder="0" applyAlignment="0" applyProtection="0"/>
    <xf numFmtId="0" fontId="61" fillId="0" borderId="0" applyNumberFormat="0" applyFill="0" applyBorder="0" applyAlignment="0" applyProtection="0"/>
    <xf numFmtId="0" fontId="66" fillId="39" borderId="29" applyNumberFormat="0" applyAlignment="0" applyProtection="0"/>
    <xf numFmtId="0" fontId="60" fillId="53" borderId="30" applyNumberFormat="0" applyAlignment="0" applyProtection="0"/>
    <xf numFmtId="0" fontId="59" fillId="52" borderId="29" applyNumberFormat="0" applyAlignment="0" applyProtection="0"/>
    <xf numFmtId="0" fontId="58" fillId="35" borderId="0" applyNumberFormat="0" applyBorder="0" applyAlignment="0" applyProtection="0"/>
    <xf numFmtId="0" fontId="57" fillId="51" borderId="0" applyNumberFormat="0" applyBorder="0" applyAlignment="0" applyProtection="0"/>
    <xf numFmtId="0" fontId="57" fillId="50" borderId="0" applyNumberFormat="0" applyBorder="0" applyAlignment="0" applyProtection="0"/>
    <xf numFmtId="0" fontId="57" fillId="49" borderId="0" applyNumberFormat="0" applyBorder="0" applyAlignment="0" applyProtection="0"/>
    <xf numFmtId="0" fontId="57" fillId="48" borderId="0" applyNumberFormat="0" applyBorder="0" applyAlignment="0" applyProtection="0"/>
    <xf numFmtId="0" fontId="57" fillId="47" borderId="0" applyNumberFormat="0" applyBorder="0" applyAlignment="0" applyProtection="0"/>
    <xf numFmtId="0" fontId="57" fillId="46" borderId="0" applyNumberFormat="0" applyBorder="0" applyAlignment="0" applyProtection="0"/>
    <xf numFmtId="0" fontId="57" fillId="45" borderId="0" applyNumberFormat="0" applyBorder="0" applyAlignment="0" applyProtection="0"/>
    <xf numFmtId="0" fontId="75" fillId="40"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9" borderId="0" applyNumberFormat="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69" fillId="52" borderId="36" applyNumberFormat="0" applyAlignment="0" applyProtection="0"/>
    <xf numFmtId="0" fontId="65" fillId="0" borderId="0" applyNumberFormat="0" applyFill="0" applyBorder="0" applyAlignment="0" applyProtection="0"/>
    <xf numFmtId="0" fontId="64" fillId="0" borderId="32" applyNumberFormat="0" applyFill="0" applyAlignment="0" applyProtection="0"/>
    <xf numFmtId="0" fontId="62" fillId="36" borderId="0" applyNumberFormat="0" applyBorder="0" applyAlignment="0" applyProtection="0"/>
    <xf numFmtId="0" fontId="60" fillId="53" borderId="30" applyNumberFormat="0" applyAlignment="0" applyProtection="0"/>
    <xf numFmtId="0" fontId="58" fillId="35" borderId="0" applyNumberFormat="0" applyBorder="0" applyAlignment="0" applyProtection="0"/>
    <xf numFmtId="0" fontId="57" fillId="45"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46"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39" fillId="0" borderId="0" applyNumberFormat="0" applyFill="0" applyBorder="0" applyAlignment="0" applyProtection="0"/>
    <xf numFmtId="0" fontId="61" fillId="0" borderId="0" applyNumberFormat="0" applyFill="0" applyBorder="0" applyAlignment="0" applyProtection="0"/>
    <xf numFmtId="0" fontId="59" fillId="52" borderId="29" applyNumberFormat="0" applyAlignment="0" applyProtection="0"/>
    <xf numFmtId="0" fontId="57" fillId="51" borderId="0" applyNumberFormat="0" applyBorder="0" applyAlignment="0" applyProtection="0"/>
    <xf numFmtId="0" fontId="63" fillId="0" borderId="31" applyNumberFormat="0" applyFill="0" applyAlignment="0" applyProtection="0"/>
    <xf numFmtId="0" fontId="57" fillId="45" borderId="0" applyNumberFormat="0" applyBorder="0" applyAlignment="0" applyProtection="0"/>
    <xf numFmtId="0" fontId="57" fillId="49" borderId="0" applyNumberFormat="0" applyBorder="0" applyAlignment="0" applyProtection="0"/>
    <xf numFmtId="0" fontId="56" fillId="40" borderId="0" applyNumberFormat="0" applyBorder="0" applyAlignment="0" applyProtection="0"/>
    <xf numFmtId="0" fontId="75" fillId="34" borderId="0" applyNumberFormat="0" applyBorder="0" applyAlignment="0" applyProtection="0"/>
    <xf numFmtId="0" fontId="57" fillId="47" borderId="0" applyNumberFormat="0" applyBorder="0" applyAlignment="0" applyProtection="0"/>
    <xf numFmtId="0" fontId="73" fillId="9" borderId="27" applyNumberFormat="0" applyFont="0" applyAlignment="0" applyProtection="0"/>
    <xf numFmtId="0" fontId="65" fillId="0" borderId="33" applyNumberFormat="0" applyFill="0" applyAlignment="0" applyProtection="0"/>
    <xf numFmtId="0" fontId="56" fillId="35" borderId="0" applyNumberFormat="0" applyBorder="0" applyAlignment="0" applyProtection="0"/>
    <xf numFmtId="0" fontId="71" fillId="0" borderId="37" applyNumberFormat="0" applyFill="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8" borderId="0" applyNumberFormat="0" applyBorder="0" applyAlignment="0" applyProtection="0"/>
    <xf numFmtId="0" fontId="39" fillId="0" borderId="0" applyNumberFormat="0" applyFill="0" applyBorder="0" applyAlignment="0" applyProtection="0"/>
    <xf numFmtId="0" fontId="73" fillId="9" borderId="27" applyNumberFormat="0" applyFont="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7"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42" borderId="0" applyNumberFormat="0" applyBorder="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0" fontId="57" fillId="46" borderId="0" applyNumberFormat="0" applyBorder="0" applyAlignment="0" applyProtection="0"/>
    <xf numFmtId="0" fontId="57" fillId="45" borderId="0" applyNumberFormat="0" applyBorder="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57" fillId="42" borderId="0" applyNumberFormat="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56" fillId="40" borderId="0" applyNumberFormat="0" applyBorder="0" applyAlignment="0" applyProtection="0"/>
    <xf numFmtId="0" fontId="56" fillId="37"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56" fillId="41" borderId="0" applyNumberFormat="0" applyBorder="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4" borderId="0" applyNumberFormat="0" applyBorder="0" applyAlignment="0" applyProtection="0"/>
    <xf numFmtId="0" fontId="67" fillId="0" borderId="34" applyNumberFormat="0" applyFill="0" applyAlignment="0" applyProtection="0"/>
    <xf numFmtId="0" fontId="72" fillId="0" borderId="0" applyNumberFormat="0" applyFill="0" applyBorder="0" applyAlignment="0" applyProtection="0"/>
    <xf numFmtId="0" fontId="71" fillId="0" borderId="37" applyNumberFormat="0" applyFill="0" applyAlignment="0" applyProtection="0"/>
    <xf numFmtId="0" fontId="70" fillId="0" borderId="0" applyNumberFormat="0" applyFill="0" applyBorder="0" applyAlignment="0" applyProtection="0"/>
    <xf numFmtId="0" fontId="56" fillId="37" borderId="0" applyNumberFormat="0" applyBorder="0" applyAlignment="0" applyProtection="0"/>
    <xf numFmtId="0" fontId="69" fillId="52" borderId="36" applyNumberFormat="0" applyAlignment="0" applyProtection="0"/>
    <xf numFmtId="0" fontId="13" fillId="55" borderId="35" applyNumberFormat="0" applyFont="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68" fillId="54" borderId="0" applyNumberFormat="0" applyBorder="0" applyAlignment="0" applyProtection="0"/>
    <xf numFmtId="0" fontId="67" fillId="0" borderId="34" applyNumberFormat="0" applyFill="0" applyAlignment="0" applyProtection="0"/>
    <xf numFmtId="0" fontId="66" fillId="39" borderId="2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5" fillId="0" borderId="33" applyNumberFormat="0" applyFill="0" applyAlignment="0" applyProtection="0"/>
    <xf numFmtId="0" fontId="64" fillId="0" borderId="32" applyNumberFormat="0" applyFill="0" applyAlignment="0" applyProtection="0"/>
    <xf numFmtId="0" fontId="63" fillId="0" borderId="31" applyNumberFormat="0" applyFill="0" applyAlignment="0" applyProtection="0"/>
    <xf numFmtId="0" fontId="62" fillId="36" borderId="0" applyNumberFormat="0" applyBorder="0" applyAlignment="0" applyProtection="0"/>
    <xf numFmtId="0" fontId="61" fillId="0" borderId="0" applyNumberFormat="0" applyFill="0" applyBorder="0" applyAlignment="0" applyProtection="0"/>
    <xf numFmtId="0" fontId="66" fillId="39" borderId="29" applyNumberFormat="0" applyAlignment="0" applyProtection="0"/>
    <xf numFmtId="0" fontId="60" fillId="53" borderId="30" applyNumberFormat="0" applyAlignment="0" applyProtection="0"/>
    <xf numFmtId="0" fontId="59" fillId="52" borderId="29" applyNumberFormat="0" applyAlignment="0" applyProtection="0"/>
    <xf numFmtId="0" fontId="58" fillId="35" borderId="0" applyNumberFormat="0" applyBorder="0" applyAlignment="0" applyProtection="0"/>
    <xf numFmtId="0" fontId="57" fillId="51" borderId="0" applyNumberFormat="0" applyBorder="0" applyAlignment="0" applyProtection="0"/>
    <xf numFmtId="44" fontId="13" fillId="0" borderId="0" applyFont="0" applyFill="0" applyBorder="0" applyAlignment="0" applyProtection="0"/>
    <xf numFmtId="0" fontId="57" fillId="50" borderId="0" applyNumberFormat="0" applyBorder="0" applyAlignment="0" applyProtection="0"/>
    <xf numFmtId="0" fontId="57" fillId="49" borderId="0" applyNumberFormat="0" applyBorder="0" applyAlignment="0" applyProtection="0"/>
    <xf numFmtId="0" fontId="57" fillId="48" borderId="0" applyNumberFormat="0" applyBorder="0" applyAlignment="0" applyProtection="0"/>
    <xf numFmtId="0" fontId="57" fillId="47" borderId="0" applyNumberFormat="0" applyBorder="0" applyAlignment="0" applyProtection="0"/>
    <xf numFmtId="0" fontId="57" fillId="46" borderId="0" applyNumberFormat="0" applyBorder="0" applyAlignment="0" applyProtection="0"/>
    <xf numFmtId="0" fontId="57" fillId="45" borderId="0" applyNumberFormat="0" applyBorder="0" applyAlignment="0" applyProtection="0"/>
    <xf numFmtId="0" fontId="75"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40" borderId="0" applyNumberFormat="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69" fillId="52" borderId="36" applyNumberFormat="0" applyAlignment="0" applyProtection="0"/>
    <xf numFmtId="0" fontId="65" fillId="0" borderId="0" applyNumberFormat="0" applyFill="0" applyBorder="0" applyAlignment="0" applyProtection="0"/>
    <xf numFmtId="0" fontId="64" fillId="0" borderId="32" applyNumberFormat="0" applyFill="0" applyAlignment="0" applyProtection="0"/>
    <xf numFmtId="0" fontId="62" fillId="36" borderId="0" applyNumberFormat="0" applyBorder="0" applyAlignment="0" applyProtection="0"/>
    <xf numFmtId="0" fontId="60" fillId="53" borderId="30" applyNumberFormat="0" applyAlignment="0" applyProtection="0"/>
    <xf numFmtId="0" fontId="58" fillId="35" borderId="0" applyNumberFormat="0" applyBorder="0" applyAlignment="0" applyProtection="0"/>
    <xf numFmtId="0" fontId="57" fillId="45"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46"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39" fillId="0" borderId="0" applyNumberFormat="0" applyFill="0" applyBorder="0" applyAlignment="0" applyProtection="0"/>
    <xf numFmtId="0" fontId="61" fillId="0" borderId="0" applyNumberFormat="0" applyFill="0" applyBorder="0" applyAlignment="0" applyProtection="0"/>
    <xf numFmtId="0" fontId="59" fillId="52" borderId="29" applyNumberFormat="0" applyAlignment="0" applyProtection="0"/>
    <xf numFmtId="0" fontId="57" fillId="51" borderId="0" applyNumberFormat="0" applyBorder="0" applyAlignment="0" applyProtection="0"/>
    <xf numFmtId="0" fontId="63" fillId="0" borderId="31" applyNumberFormat="0" applyFill="0" applyAlignment="0" applyProtection="0"/>
    <xf numFmtId="0" fontId="57" fillId="45" borderId="0" applyNumberFormat="0" applyBorder="0" applyAlignment="0" applyProtection="0"/>
    <xf numFmtId="0" fontId="57" fillId="49" borderId="0" applyNumberFormat="0" applyBorder="0" applyAlignment="0" applyProtection="0"/>
    <xf numFmtId="0" fontId="56" fillId="40" borderId="0" applyNumberFormat="0" applyBorder="0" applyAlignment="0" applyProtection="0"/>
    <xf numFmtId="0" fontId="75" fillId="34" borderId="0" applyNumberFormat="0" applyBorder="0" applyAlignment="0" applyProtection="0"/>
    <xf numFmtId="0" fontId="57" fillId="47" borderId="0" applyNumberFormat="0" applyBorder="0" applyAlignment="0" applyProtection="0"/>
    <xf numFmtId="0" fontId="73" fillId="9" borderId="27" applyNumberFormat="0" applyFont="0" applyAlignment="0" applyProtection="0"/>
    <xf numFmtId="0" fontId="65" fillId="0" borderId="33" applyNumberFormat="0" applyFill="0" applyAlignment="0" applyProtection="0"/>
    <xf numFmtId="0" fontId="56" fillId="35" borderId="0" applyNumberFormat="0" applyBorder="0" applyAlignment="0" applyProtection="0"/>
    <xf numFmtId="0" fontId="71" fillId="0" borderId="37" applyNumberFormat="0" applyFill="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9" borderId="0" applyNumberFormat="0" applyBorder="0" applyAlignment="0" applyProtection="0"/>
    <xf numFmtId="0" fontId="39" fillId="0" borderId="0" applyNumberFormat="0" applyFill="0" applyBorder="0" applyAlignment="0" applyProtection="0"/>
    <xf numFmtId="0" fontId="73" fillId="9" borderId="27" applyNumberFormat="0" applyFont="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8"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41" borderId="0" applyNumberFormat="0" applyBorder="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0" fontId="57" fillId="46" borderId="0" applyNumberFormat="0" applyBorder="0" applyAlignment="0" applyProtection="0"/>
    <xf numFmtId="0" fontId="57" fillId="45" borderId="0" applyNumberFormat="0" applyBorder="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57" fillId="42" borderId="0" applyNumberFormat="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56" fillId="40" borderId="0" applyNumberFormat="0" applyBorder="0" applyAlignment="0" applyProtection="0"/>
    <xf numFmtId="0" fontId="56" fillId="37"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56" fillId="41" borderId="0" applyNumberFormat="0" applyBorder="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4" borderId="0" applyNumberFormat="0" applyBorder="0" applyAlignment="0" applyProtection="0"/>
    <xf numFmtId="0" fontId="67" fillId="0" borderId="34" applyNumberFormat="0" applyFill="0" applyAlignment="0" applyProtection="0"/>
    <xf numFmtId="0" fontId="72" fillId="0" borderId="0" applyNumberFormat="0" applyFill="0" applyBorder="0" applyAlignment="0" applyProtection="0"/>
    <xf numFmtId="0" fontId="71" fillId="0" borderId="37" applyNumberFormat="0" applyFill="0" applyAlignment="0" applyProtection="0"/>
    <xf numFmtId="0" fontId="70" fillId="0" borderId="0" applyNumberFormat="0" applyFill="0" applyBorder="0" applyAlignment="0" applyProtection="0"/>
    <xf numFmtId="0" fontId="56" fillId="37" borderId="0" applyNumberFormat="0" applyBorder="0" applyAlignment="0" applyProtection="0"/>
    <xf numFmtId="0" fontId="69" fillId="52" borderId="36" applyNumberFormat="0" applyAlignment="0" applyProtection="0"/>
    <xf numFmtId="0" fontId="13" fillId="55" borderId="35" applyNumberFormat="0" applyFont="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68" fillId="54" borderId="0" applyNumberFormat="0" applyBorder="0" applyAlignment="0" applyProtection="0"/>
    <xf numFmtId="0" fontId="67" fillId="0" borderId="34" applyNumberFormat="0" applyFill="0" applyAlignment="0" applyProtection="0"/>
    <xf numFmtId="0" fontId="66" fillId="39" borderId="2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5" fillId="0" borderId="33" applyNumberFormat="0" applyFill="0" applyAlignment="0" applyProtection="0"/>
    <xf numFmtId="0" fontId="64" fillId="0" borderId="32" applyNumberFormat="0" applyFill="0" applyAlignment="0" applyProtection="0"/>
    <xf numFmtId="0" fontId="63" fillId="0" borderId="31" applyNumberFormat="0" applyFill="0" applyAlignment="0" applyProtection="0"/>
    <xf numFmtId="0" fontId="62" fillId="36" borderId="0" applyNumberFormat="0" applyBorder="0" applyAlignment="0" applyProtection="0"/>
    <xf numFmtId="0" fontId="61" fillId="0" borderId="0" applyNumberFormat="0" applyFill="0" applyBorder="0" applyAlignment="0" applyProtection="0"/>
    <xf numFmtId="0" fontId="66" fillId="39" borderId="29" applyNumberFormat="0" applyAlignment="0" applyProtection="0"/>
    <xf numFmtId="0" fontId="60" fillId="53" borderId="30" applyNumberFormat="0" applyAlignment="0" applyProtection="0"/>
    <xf numFmtId="0" fontId="59" fillId="52" borderId="29" applyNumberFormat="0" applyAlignment="0" applyProtection="0"/>
    <xf numFmtId="0" fontId="58" fillId="35" borderId="0" applyNumberFormat="0" applyBorder="0" applyAlignment="0" applyProtection="0"/>
    <xf numFmtId="0" fontId="57" fillId="51" borderId="0" applyNumberFormat="0" applyBorder="0" applyAlignment="0" applyProtection="0"/>
    <xf numFmtId="44" fontId="13" fillId="0" borderId="0" applyFont="0" applyFill="0" applyBorder="0" applyAlignment="0" applyProtection="0"/>
    <xf numFmtId="0" fontId="57" fillId="50" borderId="0" applyNumberFormat="0" applyBorder="0" applyAlignment="0" applyProtection="0"/>
    <xf numFmtId="0" fontId="57" fillId="49" borderId="0" applyNumberFormat="0" applyBorder="0" applyAlignment="0" applyProtection="0"/>
    <xf numFmtId="0" fontId="57" fillId="48" borderId="0" applyNumberFormat="0" applyBorder="0" applyAlignment="0" applyProtection="0"/>
    <xf numFmtId="0" fontId="57" fillId="47" borderId="0" applyNumberFormat="0" applyBorder="0" applyAlignment="0" applyProtection="0"/>
    <xf numFmtId="0" fontId="57" fillId="46" borderId="0" applyNumberFormat="0" applyBorder="0" applyAlignment="0" applyProtection="0"/>
    <xf numFmtId="0" fontId="57" fillId="45" borderId="0" applyNumberFormat="0" applyBorder="0" applyAlignment="0" applyProtection="0"/>
    <xf numFmtId="0" fontId="75"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40" borderId="0" applyNumberFormat="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69" fillId="52" borderId="36" applyNumberFormat="0" applyAlignment="0" applyProtection="0"/>
    <xf numFmtId="0" fontId="65" fillId="0" borderId="0" applyNumberFormat="0" applyFill="0" applyBorder="0" applyAlignment="0" applyProtection="0"/>
    <xf numFmtId="0" fontId="64" fillId="0" borderId="32" applyNumberFormat="0" applyFill="0" applyAlignment="0" applyProtection="0"/>
    <xf numFmtId="0" fontId="62" fillId="36" borderId="0" applyNumberFormat="0" applyBorder="0" applyAlignment="0" applyProtection="0"/>
    <xf numFmtId="0" fontId="60" fillId="53" borderId="30" applyNumberFormat="0" applyAlignment="0" applyProtection="0"/>
    <xf numFmtId="0" fontId="58" fillId="35" borderId="0" applyNumberFormat="0" applyBorder="0" applyAlignment="0" applyProtection="0"/>
    <xf numFmtId="0" fontId="57" fillId="45"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46"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39" fillId="0" borderId="0" applyNumberFormat="0" applyFill="0" applyBorder="0" applyAlignment="0" applyProtection="0"/>
    <xf numFmtId="0" fontId="61" fillId="0" borderId="0" applyNumberFormat="0" applyFill="0" applyBorder="0" applyAlignment="0" applyProtection="0"/>
    <xf numFmtId="0" fontId="59" fillId="52" borderId="29" applyNumberFormat="0" applyAlignment="0" applyProtection="0"/>
    <xf numFmtId="0" fontId="57" fillId="51" borderId="0" applyNumberFormat="0" applyBorder="0" applyAlignment="0" applyProtection="0"/>
    <xf numFmtId="0" fontId="63" fillId="0" borderId="31" applyNumberFormat="0" applyFill="0" applyAlignment="0" applyProtection="0"/>
    <xf numFmtId="0" fontId="57" fillId="45" borderId="0" applyNumberFormat="0" applyBorder="0" applyAlignment="0" applyProtection="0"/>
    <xf numFmtId="0" fontId="57" fillId="49" borderId="0" applyNumberFormat="0" applyBorder="0" applyAlignment="0" applyProtection="0"/>
    <xf numFmtId="0" fontId="56" fillId="40" borderId="0" applyNumberFormat="0" applyBorder="0" applyAlignment="0" applyProtection="0"/>
    <xf numFmtId="0" fontId="57" fillId="47" borderId="0" applyNumberFormat="0" applyBorder="0" applyAlignment="0" applyProtection="0"/>
    <xf numFmtId="0" fontId="73" fillId="9" borderId="27" applyNumberFormat="0" applyFont="0" applyAlignment="0" applyProtection="0"/>
    <xf numFmtId="0" fontId="65" fillId="0" borderId="33" applyNumberFormat="0" applyFill="0" applyAlignment="0" applyProtection="0"/>
    <xf numFmtId="0" fontId="56" fillId="35" borderId="0" applyNumberFormat="0" applyBorder="0" applyAlignment="0" applyProtection="0"/>
    <xf numFmtId="0" fontId="71" fillId="0" borderId="37" applyNumberFormat="0" applyFill="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9" borderId="0" applyNumberFormat="0" applyBorder="0" applyAlignment="0" applyProtection="0"/>
    <xf numFmtId="0" fontId="39" fillId="0" borderId="0" applyNumberFormat="0" applyFill="0" applyBorder="0" applyAlignment="0" applyProtection="0"/>
    <xf numFmtId="0" fontId="73" fillId="9" borderId="27" applyNumberFormat="0" applyFont="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8"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5" fillId="35" borderId="0" applyNumberFormat="0" applyBorder="0" applyAlignment="0" applyProtection="0"/>
    <xf numFmtId="0" fontId="75" fillId="36" borderId="0" applyNumberFormat="0" applyBorder="0" applyAlignment="0" applyProtection="0"/>
    <xf numFmtId="0" fontId="75" fillId="41" borderId="0" applyNumberFormat="0" applyBorder="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0" fontId="57" fillId="46" borderId="0" applyNumberFormat="0" applyBorder="0" applyAlignment="0" applyProtection="0"/>
    <xf numFmtId="0" fontId="57" fillId="45" borderId="0" applyNumberFormat="0" applyBorder="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57" fillId="42" borderId="0" applyNumberFormat="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56" fillId="40" borderId="0" applyNumberFormat="0" applyBorder="0" applyAlignment="0" applyProtection="0"/>
    <xf numFmtId="0" fontId="56" fillId="37"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56" fillId="41" borderId="0" applyNumberFormat="0" applyBorder="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4" borderId="0" applyNumberFormat="0" applyBorder="0" applyAlignment="0" applyProtection="0"/>
    <xf numFmtId="0" fontId="67" fillId="0" borderId="34" applyNumberFormat="0" applyFill="0" applyAlignment="0" applyProtection="0"/>
    <xf numFmtId="0" fontId="72" fillId="0" borderId="0" applyNumberFormat="0" applyFill="0" applyBorder="0" applyAlignment="0" applyProtection="0"/>
    <xf numFmtId="0" fontId="71" fillId="0" borderId="37" applyNumberFormat="0" applyFill="0" applyAlignment="0" applyProtection="0"/>
    <xf numFmtId="0" fontId="70" fillId="0" borderId="0" applyNumberFormat="0" applyFill="0" applyBorder="0" applyAlignment="0" applyProtection="0"/>
    <xf numFmtId="0" fontId="56" fillId="37" borderId="0" applyNumberFormat="0" applyBorder="0" applyAlignment="0" applyProtection="0"/>
    <xf numFmtId="0" fontId="69" fillId="52" borderId="36" applyNumberFormat="0" applyAlignment="0" applyProtection="0"/>
    <xf numFmtId="0" fontId="13" fillId="55" borderId="35" applyNumberFormat="0" applyFont="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68" fillId="54" borderId="0" applyNumberFormat="0" applyBorder="0" applyAlignment="0" applyProtection="0"/>
    <xf numFmtId="0" fontId="67" fillId="0" borderId="34" applyNumberFormat="0" applyFill="0" applyAlignment="0" applyProtection="0"/>
    <xf numFmtId="0" fontId="66" fillId="39" borderId="2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5" fillId="0" borderId="33" applyNumberFormat="0" applyFill="0" applyAlignment="0" applyProtection="0"/>
    <xf numFmtId="0" fontId="64" fillId="0" borderId="32" applyNumberFormat="0" applyFill="0" applyAlignment="0" applyProtection="0"/>
    <xf numFmtId="0" fontId="63" fillId="0" borderId="31" applyNumberFormat="0" applyFill="0" applyAlignment="0" applyProtection="0"/>
    <xf numFmtId="0" fontId="62" fillId="36" borderId="0" applyNumberFormat="0" applyBorder="0" applyAlignment="0" applyProtection="0"/>
    <xf numFmtId="0" fontId="61" fillId="0" borderId="0" applyNumberFormat="0" applyFill="0" applyBorder="0" applyAlignment="0" applyProtection="0"/>
    <xf numFmtId="0" fontId="66" fillId="39" borderId="29" applyNumberFormat="0" applyAlignment="0" applyProtection="0"/>
    <xf numFmtId="0" fontId="60" fillId="53" borderId="30" applyNumberFormat="0" applyAlignment="0" applyProtection="0"/>
    <xf numFmtId="0" fontId="59" fillId="52" borderId="29" applyNumberFormat="0" applyAlignment="0" applyProtection="0"/>
    <xf numFmtId="0" fontId="58" fillId="35" borderId="0" applyNumberFormat="0" applyBorder="0" applyAlignment="0" applyProtection="0"/>
    <xf numFmtId="0" fontId="57" fillId="51" borderId="0" applyNumberFormat="0" applyBorder="0" applyAlignment="0" applyProtection="0"/>
    <xf numFmtId="44" fontId="13" fillId="0" borderId="0" applyFont="0" applyFill="0" applyBorder="0" applyAlignment="0" applyProtection="0"/>
    <xf numFmtId="0" fontId="57" fillId="50" borderId="0" applyNumberFormat="0" applyBorder="0" applyAlignment="0" applyProtection="0"/>
    <xf numFmtId="0" fontId="57" fillId="49" borderId="0" applyNumberFormat="0" applyBorder="0" applyAlignment="0" applyProtection="0"/>
    <xf numFmtId="0" fontId="57" fillId="48" borderId="0" applyNumberFormat="0" applyBorder="0" applyAlignment="0" applyProtection="0"/>
    <xf numFmtId="0" fontId="57" fillId="47" borderId="0" applyNumberFormat="0" applyBorder="0" applyAlignment="0" applyProtection="0"/>
    <xf numFmtId="0" fontId="57" fillId="46" borderId="0" applyNumberFormat="0" applyBorder="0" applyAlignment="0" applyProtection="0"/>
    <xf numFmtId="0" fontId="57" fillId="45" borderId="0" applyNumberFormat="0" applyBorder="0" applyAlignment="0" applyProtection="0"/>
    <xf numFmtId="0" fontId="75" fillId="40"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9" borderId="0" applyNumberFormat="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69" fillId="52" borderId="36" applyNumberFormat="0" applyAlignment="0" applyProtection="0"/>
    <xf numFmtId="0" fontId="65" fillId="0" borderId="0" applyNumberFormat="0" applyFill="0" applyBorder="0" applyAlignment="0" applyProtection="0"/>
    <xf numFmtId="0" fontId="64" fillId="0" borderId="32" applyNumberFormat="0" applyFill="0" applyAlignment="0" applyProtection="0"/>
    <xf numFmtId="0" fontId="62" fillId="36" borderId="0" applyNumberFormat="0" applyBorder="0" applyAlignment="0" applyProtection="0"/>
    <xf numFmtId="0" fontId="60" fillId="53" borderId="30" applyNumberFormat="0" applyAlignment="0" applyProtection="0"/>
    <xf numFmtId="0" fontId="58" fillId="35" borderId="0" applyNumberFormat="0" applyBorder="0" applyAlignment="0" applyProtection="0"/>
    <xf numFmtId="0" fontId="57" fillId="45"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46"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39" fillId="0" borderId="0" applyNumberFormat="0" applyFill="0" applyBorder="0" applyAlignment="0" applyProtection="0"/>
    <xf numFmtId="0" fontId="61" fillId="0" borderId="0" applyNumberFormat="0" applyFill="0" applyBorder="0" applyAlignment="0" applyProtection="0"/>
    <xf numFmtId="0" fontId="59" fillId="52" borderId="29" applyNumberFormat="0" applyAlignment="0" applyProtection="0"/>
    <xf numFmtId="0" fontId="57" fillId="51" borderId="0" applyNumberFormat="0" applyBorder="0" applyAlignment="0" applyProtection="0"/>
    <xf numFmtId="0" fontId="63" fillId="0" borderId="31" applyNumberFormat="0" applyFill="0" applyAlignment="0" applyProtection="0"/>
    <xf numFmtId="0" fontId="57" fillId="45" borderId="0" applyNumberFormat="0" applyBorder="0" applyAlignment="0" applyProtection="0"/>
    <xf numFmtId="0" fontId="57" fillId="49" borderId="0" applyNumberFormat="0" applyBorder="0" applyAlignment="0" applyProtection="0"/>
    <xf numFmtId="0" fontId="56" fillId="40" borderId="0" applyNumberFormat="0" applyBorder="0" applyAlignment="0" applyProtection="0"/>
    <xf numFmtId="0" fontId="75" fillId="34" borderId="0" applyNumberFormat="0" applyBorder="0" applyAlignment="0" applyProtection="0"/>
    <xf numFmtId="0" fontId="57" fillId="47" borderId="0" applyNumberFormat="0" applyBorder="0" applyAlignment="0" applyProtection="0"/>
    <xf numFmtId="0" fontId="73" fillId="9" borderId="27" applyNumberFormat="0" applyFont="0" applyAlignment="0" applyProtection="0"/>
    <xf numFmtId="0" fontId="65" fillId="0" borderId="33" applyNumberFormat="0" applyFill="0" applyAlignment="0" applyProtection="0"/>
    <xf numFmtId="0" fontId="56" fillId="35" borderId="0" applyNumberFormat="0" applyBorder="0" applyAlignment="0" applyProtection="0"/>
    <xf numFmtId="0" fontId="71" fillId="0" borderId="37" applyNumberFormat="0" applyFill="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8" borderId="0" applyNumberFormat="0" applyBorder="0" applyAlignment="0" applyProtection="0"/>
    <xf numFmtId="0" fontId="39" fillId="0" borderId="0" applyNumberFormat="0" applyFill="0" applyBorder="0" applyAlignment="0" applyProtection="0"/>
    <xf numFmtId="0" fontId="73" fillId="9" borderId="27" applyNumberFormat="0" applyFont="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7"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58" fillId="35" borderId="0" applyNumberFormat="0" applyBorder="0" applyAlignment="0" applyProtection="0"/>
    <xf numFmtId="0" fontId="59" fillId="52" borderId="29" applyNumberFormat="0" applyAlignment="0" applyProtection="0"/>
    <xf numFmtId="0" fontId="60" fillId="53" borderId="30" applyNumberFormat="0" applyAlignment="0" applyProtection="0"/>
    <xf numFmtId="0" fontId="57" fillId="46" borderId="0" applyNumberFormat="0" applyBorder="0" applyAlignment="0" applyProtection="0"/>
    <xf numFmtId="0" fontId="57" fillId="45" borderId="0" applyNumberFormat="0" applyBorder="0" applyAlignment="0" applyProtection="0"/>
    <xf numFmtId="0" fontId="61" fillId="0" borderId="0" applyNumberFormat="0" applyFill="0" applyBorder="0" applyAlignment="0" applyProtection="0"/>
    <xf numFmtId="0" fontId="62" fillId="36" borderId="0" applyNumberFormat="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57" fillId="42" borderId="0" applyNumberFormat="0" applyBorder="0" applyAlignment="0" applyProtection="0"/>
    <xf numFmtId="0" fontId="66" fillId="39" borderId="29" applyNumberFormat="0" applyAlignment="0" applyProtection="0"/>
    <xf numFmtId="0" fontId="67" fillId="0" borderId="34" applyNumberFormat="0" applyFill="0" applyAlignment="0" applyProtection="0"/>
    <xf numFmtId="0" fontId="68" fillId="54" borderId="0" applyNumberFormat="0" applyBorder="0" applyAlignment="0" applyProtection="0"/>
    <xf numFmtId="0" fontId="56" fillId="40" borderId="0" applyNumberFormat="0" applyBorder="0" applyAlignment="0" applyProtection="0"/>
    <xf numFmtId="0" fontId="56" fillId="37" borderId="0" applyNumberFormat="0" applyBorder="0" applyAlignment="0" applyProtection="0"/>
    <xf numFmtId="0" fontId="13" fillId="55" borderId="35" applyNumberFormat="0" applyFont="0" applyAlignment="0" applyProtection="0"/>
    <xf numFmtId="0" fontId="69" fillId="52" borderId="36" applyNumberFormat="0" applyAlignment="0" applyProtection="0"/>
    <xf numFmtId="0" fontId="56" fillId="41" borderId="0" applyNumberFormat="0" applyBorder="0" applyAlignment="0" applyProtection="0"/>
    <xf numFmtId="0" fontId="70" fillId="0" borderId="0" applyNumberFormat="0" applyFill="0" applyBorder="0" applyAlignment="0" applyProtection="0"/>
    <xf numFmtId="0" fontId="71" fillId="0" borderId="37" applyNumberFormat="0" applyFill="0" applyAlignment="0" applyProtection="0"/>
    <xf numFmtId="0" fontId="72"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4" borderId="0" applyNumberFormat="0" applyBorder="0" applyAlignment="0" applyProtection="0"/>
    <xf numFmtId="0" fontId="67" fillId="0" borderId="34" applyNumberFormat="0" applyFill="0" applyAlignment="0" applyProtection="0"/>
    <xf numFmtId="0" fontId="72" fillId="0" borderId="0" applyNumberFormat="0" applyFill="0" applyBorder="0" applyAlignment="0" applyProtection="0"/>
    <xf numFmtId="0" fontId="71" fillId="0" borderId="37" applyNumberFormat="0" applyFill="0" applyAlignment="0" applyProtection="0"/>
    <xf numFmtId="0" fontId="70" fillId="0" borderId="0" applyNumberFormat="0" applyFill="0" applyBorder="0" applyAlignment="0" applyProtection="0"/>
    <xf numFmtId="0" fontId="56" fillId="37" borderId="0" applyNumberFormat="0" applyBorder="0" applyAlignment="0" applyProtection="0"/>
    <xf numFmtId="0" fontId="69" fillId="52" borderId="36" applyNumberFormat="0" applyAlignment="0" applyProtection="0"/>
    <xf numFmtId="0" fontId="13" fillId="55" borderId="35" applyNumberFormat="0" applyFont="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68" fillId="54" borderId="0" applyNumberFormat="0" applyBorder="0" applyAlignment="0" applyProtection="0"/>
    <xf numFmtId="0" fontId="67" fillId="0" borderId="34" applyNumberFormat="0" applyFill="0" applyAlignment="0" applyProtection="0"/>
    <xf numFmtId="0" fontId="66" fillId="39" borderId="2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5" fillId="0" borderId="33" applyNumberFormat="0" applyFill="0" applyAlignment="0" applyProtection="0"/>
    <xf numFmtId="0" fontId="64" fillId="0" borderId="32" applyNumberFormat="0" applyFill="0" applyAlignment="0" applyProtection="0"/>
    <xf numFmtId="0" fontId="63" fillId="0" borderId="31" applyNumberFormat="0" applyFill="0" applyAlignment="0" applyProtection="0"/>
    <xf numFmtId="0" fontId="62" fillId="36" borderId="0" applyNumberFormat="0" applyBorder="0" applyAlignment="0" applyProtection="0"/>
    <xf numFmtId="0" fontId="61" fillId="0" borderId="0" applyNumberFormat="0" applyFill="0" applyBorder="0" applyAlignment="0" applyProtection="0"/>
    <xf numFmtId="0" fontId="66" fillId="39" borderId="29" applyNumberFormat="0" applyAlignment="0" applyProtection="0"/>
    <xf numFmtId="0" fontId="60" fillId="53" borderId="30" applyNumberFormat="0" applyAlignment="0" applyProtection="0"/>
    <xf numFmtId="0" fontId="59" fillId="52" borderId="29" applyNumberFormat="0" applyAlignment="0" applyProtection="0"/>
    <xf numFmtId="0" fontId="58" fillId="35" borderId="0" applyNumberFormat="0" applyBorder="0" applyAlignment="0" applyProtection="0"/>
    <xf numFmtId="0" fontId="57" fillId="51" borderId="0" applyNumberFormat="0" applyBorder="0" applyAlignment="0" applyProtection="0"/>
    <xf numFmtId="44" fontId="13" fillId="0" borderId="0" applyFont="0" applyFill="0" applyBorder="0" applyAlignment="0" applyProtection="0"/>
    <xf numFmtId="0" fontId="57" fillId="50" borderId="0" applyNumberFormat="0" applyBorder="0" applyAlignment="0" applyProtection="0"/>
    <xf numFmtId="0" fontId="57" fillId="49" borderId="0" applyNumberFormat="0" applyBorder="0" applyAlignment="0" applyProtection="0"/>
    <xf numFmtId="0" fontId="57" fillId="48" borderId="0" applyNumberFormat="0" applyBorder="0" applyAlignment="0" applyProtection="0"/>
    <xf numFmtId="0" fontId="57" fillId="47" borderId="0" applyNumberFormat="0" applyBorder="0" applyAlignment="0" applyProtection="0"/>
    <xf numFmtId="0" fontId="57" fillId="46" borderId="0" applyNumberFormat="0" applyBorder="0" applyAlignment="0" applyProtection="0"/>
    <xf numFmtId="0" fontId="57" fillId="45" borderId="0" applyNumberFormat="0" applyBorder="0" applyAlignment="0" applyProtection="0"/>
    <xf numFmtId="0" fontId="75" fillId="40"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13" fillId="0" borderId="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9" borderId="0" applyNumberFormat="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69" fillId="52" borderId="36" applyNumberFormat="0" applyAlignment="0" applyProtection="0"/>
    <xf numFmtId="0" fontId="65" fillId="0" borderId="0" applyNumberFormat="0" applyFill="0" applyBorder="0" applyAlignment="0" applyProtection="0"/>
    <xf numFmtId="0" fontId="64" fillId="0" borderId="32" applyNumberFormat="0" applyFill="0" applyAlignment="0" applyProtection="0"/>
    <xf numFmtId="0" fontId="62" fillId="36" borderId="0" applyNumberFormat="0" applyBorder="0" applyAlignment="0" applyProtection="0"/>
    <xf numFmtId="0" fontId="60" fillId="53" borderId="30" applyNumberFormat="0" applyAlignment="0" applyProtection="0"/>
    <xf numFmtId="0" fontId="58" fillId="35" borderId="0" applyNumberFormat="0" applyBorder="0" applyAlignment="0" applyProtection="0"/>
    <xf numFmtId="0" fontId="57" fillId="45" borderId="0" applyNumberFormat="0" applyBorder="0" applyAlignment="0" applyProtection="0"/>
    <xf numFmtId="0" fontId="57" fillId="50" borderId="0" applyNumberFormat="0" applyBorder="0" applyAlignment="0" applyProtection="0"/>
    <xf numFmtId="0" fontId="57" fillId="48" borderId="0" applyNumberFormat="0" applyBorder="0" applyAlignment="0" applyProtection="0"/>
    <xf numFmtId="0" fontId="57" fillId="46"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39" fillId="0" borderId="0" applyNumberFormat="0" applyFill="0" applyBorder="0" applyAlignment="0" applyProtection="0"/>
    <xf numFmtId="0" fontId="61" fillId="0" borderId="0" applyNumberFormat="0" applyFill="0" applyBorder="0" applyAlignment="0" applyProtection="0"/>
    <xf numFmtId="0" fontId="59" fillId="52" borderId="29" applyNumberFormat="0" applyAlignment="0" applyProtection="0"/>
    <xf numFmtId="0" fontId="57" fillId="51" borderId="0" applyNumberFormat="0" applyBorder="0" applyAlignment="0" applyProtection="0"/>
    <xf numFmtId="0" fontId="63" fillId="0" borderId="31" applyNumberFormat="0" applyFill="0" applyAlignment="0" applyProtection="0"/>
    <xf numFmtId="0" fontId="57" fillId="45" borderId="0" applyNumberFormat="0" applyBorder="0" applyAlignment="0" applyProtection="0"/>
    <xf numFmtId="0" fontId="57" fillId="49" borderId="0" applyNumberFormat="0" applyBorder="0" applyAlignment="0" applyProtection="0"/>
    <xf numFmtId="0" fontId="56" fillId="40" borderId="0" applyNumberFormat="0" applyBorder="0" applyAlignment="0" applyProtection="0"/>
    <xf numFmtId="0" fontId="57" fillId="47" borderId="0" applyNumberFormat="0" applyBorder="0" applyAlignment="0" applyProtection="0"/>
    <xf numFmtId="0" fontId="73" fillId="9" borderId="27" applyNumberFormat="0" applyFont="0" applyAlignment="0" applyProtection="0"/>
    <xf numFmtId="0" fontId="65" fillId="0" borderId="33" applyNumberFormat="0" applyFill="0" applyAlignment="0" applyProtection="0"/>
    <xf numFmtId="0" fontId="56" fillId="35" borderId="0" applyNumberFormat="0" applyBorder="0" applyAlignment="0" applyProtection="0"/>
    <xf numFmtId="0" fontId="71" fillId="0" borderId="37" applyNumberFormat="0" applyFill="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8" borderId="0" applyNumberFormat="0" applyBorder="0" applyAlignment="0" applyProtection="0"/>
    <xf numFmtId="0" fontId="39" fillId="0" borderId="0" applyNumberFormat="0" applyFill="0" applyBorder="0" applyAlignment="0" applyProtection="0"/>
    <xf numFmtId="0" fontId="73" fillId="9" borderId="27" applyNumberFormat="0" applyFont="0" applyAlignment="0" applyProtection="0"/>
    <xf numFmtId="0" fontId="39"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23" applyNumberFormat="0" applyAlignment="0" applyProtection="0"/>
    <xf numFmtId="0" fontId="98" fillId="7" borderId="24" applyNumberFormat="0" applyAlignment="0" applyProtection="0"/>
    <xf numFmtId="0" fontId="99" fillId="7" borderId="23" applyNumberFormat="0" applyAlignment="0" applyProtection="0"/>
    <xf numFmtId="0" fontId="100" fillId="0" borderId="25" applyNumberFormat="0" applyFill="0" applyAlignment="0" applyProtection="0"/>
    <xf numFmtId="0" fontId="101" fillId="8" borderId="26" applyNumberFormat="0" applyAlignment="0" applyProtection="0"/>
    <xf numFmtId="0" fontId="102" fillId="0" borderId="0" applyNumberFormat="0" applyFill="0" applyBorder="0" applyAlignment="0" applyProtection="0"/>
    <xf numFmtId="0" fontId="73" fillId="9" borderId="27" applyNumberFormat="0" applyFont="0" applyAlignment="0" applyProtection="0"/>
    <xf numFmtId="0" fontId="103" fillId="0" borderId="0" applyNumberFormat="0" applyFill="0" applyBorder="0" applyAlignment="0" applyProtection="0"/>
    <xf numFmtId="0" fontId="104" fillId="0" borderId="28" applyNumberFormat="0" applyFill="0" applyAlignment="0" applyProtection="0"/>
    <xf numFmtId="0" fontId="105"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05" fillId="33" borderId="0" applyNumberFormat="0" applyBorder="0" applyAlignment="0" applyProtection="0"/>
    <xf numFmtId="0" fontId="75" fillId="37" borderId="0" applyNumberFormat="0" applyBorder="0" applyAlignment="0" applyProtection="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43" fontId="13" fillId="0" borderId="0" applyFont="0" applyFill="0" applyBorder="0" applyAlignment="0" applyProtection="0"/>
    <xf numFmtId="0" fontId="9" fillId="0" borderId="0"/>
    <xf numFmtId="0" fontId="9" fillId="0" borderId="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70" fillId="0" borderId="0" applyNumberFormat="0" applyFill="0" applyBorder="0" applyAlignment="0" applyProtection="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88" fillId="52" borderId="36" applyNumberFormat="0" applyAlignment="0" applyProtection="0"/>
    <xf numFmtId="0" fontId="89" fillId="0" borderId="37" applyNumberFormat="0" applyFill="0" applyAlignment="0" applyProtection="0"/>
    <xf numFmtId="0" fontId="90" fillId="0" borderId="0" applyNumberFormat="0" applyFill="0" applyBorder="0" applyAlignment="0" applyProtection="0"/>
    <xf numFmtId="43" fontId="13" fillId="0" borderId="0" applyFont="0" applyFill="0" applyBorder="0" applyAlignment="0" applyProtection="0"/>
    <xf numFmtId="0" fontId="9" fillId="0" borderId="0"/>
    <xf numFmtId="0" fontId="9" fillId="0" borderId="0"/>
    <xf numFmtId="0" fontId="9"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9" fillId="0" borderId="0"/>
    <xf numFmtId="0" fontId="9"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9" fillId="0" borderId="0"/>
    <xf numFmtId="0" fontId="9" fillId="0" borderId="0"/>
    <xf numFmtId="0" fontId="70" fillId="0" borderId="0" applyNumberFormat="0" applyFill="0" applyBorder="0" applyAlignment="0" applyProtection="0"/>
    <xf numFmtId="0" fontId="9" fillId="0" borderId="0"/>
    <xf numFmtId="0" fontId="9" fillId="0" borderId="0"/>
    <xf numFmtId="0" fontId="9" fillId="0" borderId="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4"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7" fillId="35" borderId="0" applyNumberFormat="0" applyBorder="0" applyAlignment="0" applyProtection="0"/>
    <xf numFmtId="0" fontId="78" fillId="52" borderId="29" applyNumberFormat="0" applyAlignment="0" applyProtection="0"/>
    <xf numFmtId="0" fontId="79" fillId="53" borderId="30" applyNumberFormat="0" applyAlignment="0" applyProtection="0"/>
    <xf numFmtId="0" fontId="80" fillId="0" borderId="0" applyNumberFormat="0" applyFill="0" applyBorder="0" applyAlignment="0" applyProtection="0"/>
    <xf numFmtId="0" fontId="81" fillId="36" borderId="0" applyNumberFormat="0" applyBorder="0" applyAlignment="0" applyProtection="0"/>
    <xf numFmtId="0" fontId="82" fillId="0" borderId="31"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0" fontId="85" fillId="39" borderId="29" applyNumberFormat="0" applyAlignment="0" applyProtection="0"/>
    <xf numFmtId="0" fontId="86" fillId="0" borderId="34" applyNumberFormat="0" applyFill="0" applyAlignment="0" applyProtection="0"/>
    <xf numFmtId="0" fontId="87" fillId="54" borderId="0" applyNumberFormat="0" applyBorder="0" applyAlignment="0" applyProtection="0"/>
    <xf numFmtId="0" fontId="13" fillId="55" borderId="35" applyNumberFormat="0" applyFont="0" applyAlignment="0" applyProtection="0"/>
    <xf numFmtId="0" fontId="88" fillId="52" borderId="36" applyNumberFormat="0" applyAlignment="0" applyProtection="0"/>
    <xf numFmtId="0" fontId="70" fillId="0" borderId="0" applyNumberFormat="0" applyFill="0" applyBorder="0" applyAlignment="0" applyProtection="0"/>
    <xf numFmtId="0" fontId="89" fillId="0" borderId="37" applyNumberFormat="0" applyFill="0" applyAlignment="0" applyProtection="0"/>
    <xf numFmtId="0" fontId="90" fillId="0" borderId="0" applyNumberFormat="0" applyFill="0" applyBorder="0" applyAlignment="0" applyProtection="0"/>
    <xf numFmtId="0" fontId="9" fillId="0" borderId="0"/>
    <xf numFmtId="0" fontId="9" fillId="0" borderId="0"/>
    <xf numFmtId="0" fontId="9" fillId="0" borderId="0"/>
    <xf numFmtId="0" fontId="13" fillId="0" borderId="0"/>
    <xf numFmtId="0" fontId="70" fillId="0" borderId="0" applyNumberFormat="0" applyFill="0" applyBorder="0" applyAlignment="0" applyProtection="0"/>
    <xf numFmtId="0" fontId="9" fillId="0" borderId="0"/>
    <xf numFmtId="0" fontId="9" fillId="0" borderId="0"/>
    <xf numFmtId="0" fontId="9" fillId="0" borderId="0"/>
    <xf numFmtId="0" fontId="33" fillId="0" borderId="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27"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27"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27"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9" fillId="0" borderId="0"/>
    <xf numFmtId="0" fontId="9" fillId="9" borderId="27"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9" fillId="9" borderId="27" applyNumberFormat="0" applyFont="0" applyAlignment="0" applyProtection="0"/>
    <xf numFmtId="0" fontId="9" fillId="19" borderId="0" applyNumberFormat="0" applyBorder="0" applyAlignment="0" applyProtection="0"/>
    <xf numFmtId="0" fontId="9" fillId="0" borderId="0"/>
    <xf numFmtId="0" fontId="9" fillId="16"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0" borderId="0"/>
    <xf numFmtId="0" fontId="9" fillId="9" borderId="27"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 fillId="11" borderId="0" applyNumberFormat="0" applyBorder="0" applyAlignment="0" applyProtection="0"/>
    <xf numFmtId="0" fontId="75" fillId="3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 fillId="11"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5" fillId="3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 fillId="15" borderId="0" applyNumberFormat="0" applyBorder="0" applyAlignment="0" applyProtection="0"/>
    <xf numFmtId="0" fontId="75" fillId="3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 fillId="1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5" fillId="3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8" fillId="19" borderId="0" applyNumberFormat="0" applyBorder="0" applyAlignment="0" applyProtection="0"/>
    <xf numFmtId="0" fontId="75" fillId="3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8" fillId="19"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5" fillId="3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8" fillId="23" borderId="0" applyNumberFormat="0" applyBorder="0" applyAlignment="0" applyProtection="0"/>
    <xf numFmtId="0" fontId="75" fillId="3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8" fillId="23"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75" fillId="3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8" fillId="27" borderId="0" applyNumberFormat="0" applyBorder="0" applyAlignment="0" applyProtection="0"/>
    <xf numFmtId="0" fontId="75"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8" fillId="27"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5"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8" fillId="31" borderId="0" applyNumberFormat="0" applyBorder="0" applyAlignment="0" applyProtection="0"/>
    <xf numFmtId="0" fontId="75" fillId="3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8" fillId="31"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5" fillId="3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 fillId="12" borderId="0" applyNumberFormat="0" applyBorder="0" applyAlignment="0" applyProtection="0"/>
    <xf numFmtId="0" fontId="75"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 fillId="1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75"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8" fillId="16" borderId="0" applyNumberFormat="0" applyBorder="0" applyAlignment="0" applyProtection="0"/>
    <xf numFmtId="0" fontId="75"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8" fillId="16"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5"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8" fillId="20" borderId="0" applyNumberFormat="0" applyBorder="0" applyAlignment="0" applyProtection="0"/>
    <xf numFmtId="0" fontId="75"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8" fillId="20"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75"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75" fillId="4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8" fillId="24" borderId="0" applyNumberFormat="0" applyBorder="0" applyAlignment="0" applyProtection="0"/>
    <xf numFmtId="0" fontId="75" fillId="3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8" fillId="24"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75" fillId="3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75" fillId="37"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 fillId="28" borderId="0" applyNumberFormat="0" applyBorder="0" applyAlignment="0" applyProtection="0"/>
    <xf numFmtId="0" fontId="75" fillId="40"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 fillId="28"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5" fillId="40"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8" fillId="32" borderId="0" applyNumberFormat="0" applyBorder="0" applyAlignment="0" applyProtection="0"/>
    <xf numFmtId="0" fontId="75"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8" fillId="32"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75"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75" fillId="43"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3" fillId="0" borderId="0"/>
    <xf numFmtId="0" fontId="13" fillId="0" borderId="0"/>
    <xf numFmtId="0" fontId="13" fillId="0" borderId="0"/>
    <xf numFmtId="0" fontId="24"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75"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0" fontId="28" fillId="9" borderId="27" applyNumberFormat="0" applyFont="0" applyAlignment="0" applyProtection="0"/>
    <xf numFmtId="9" fontId="3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9" fillId="0" borderId="37" applyNumberFormat="0" applyFill="0" applyAlignment="0" applyProtection="0"/>
    <xf numFmtId="0" fontId="89"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53" fillId="0" borderId="28"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53" fillId="0" borderId="28" applyNumberFormat="0" applyFill="0" applyAlignment="0" applyProtection="0"/>
    <xf numFmtId="0" fontId="89" fillId="0" borderId="3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7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7" fillId="9" borderId="27" applyNumberFormat="0" applyFont="0" applyAlignment="0" applyProtection="0"/>
    <xf numFmtId="0" fontId="106" fillId="0" borderId="0"/>
    <xf numFmtId="43" fontId="107" fillId="0" borderId="0" applyFont="0" applyFill="0" applyBorder="0" applyAlignment="0" applyProtection="0"/>
    <xf numFmtId="0" fontId="108" fillId="0" borderId="0"/>
    <xf numFmtId="8" fontId="21" fillId="0" borderId="0" applyFont="0" applyFill="0" applyBorder="0" applyAlignment="0" applyProtection="0"/>
    <xf numFmtId="9" fontId="21" fillId="0" borderId="0" applyFont="0" applyFill="0" applyBorder="0" applyAlignment="0" applyProtection="0"/>
    <xf numFmtId="0" fontId="21" fillId="0" borderId="0"/>
    <xf numFmtId="9" fontId="24"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13" fillId="0" borderId="0"/>
    <xf numFmtId="0" fontId="24" fillId="0" borderId="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0"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5" fillId="3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0"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5" fillId="35"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0"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36"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0"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5" fillId="3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0"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5" fillId="38"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0"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5" fillId="39"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0"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5" fillId="40"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5" fillId="4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6" fillId="53" borderId="30"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40"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1" fillId="2" borderId="0" applyNumberFormat="0" applyFont="0" applyBorder="0" applyAlignment="0" applyProtection="0"/>
    <xf numFmtId="3" fontId="21" fillId="0" borderId="0" applyFont="0" applyFill="0" applyBorder="0" applyAlignment="0" applyProtection="0"/>
    <xf numFmtId="0" fontId="20" fillId="0" borderId="1">
      <alignment horizontal="center"/>
    </xf>
    <xf numFmtId="4" fontId="21" fillId="0" borderId="0" applyFont="0" applyFill="0" applyBorder="0" applyAlignment="0" applyProtection="0"/>
    <xf numFmtId="15" fontId="21" fillId="0" borderId="0" applyFont="0" applyFill="0" applyBorder="0" applyAlignment="0" applyProtection="0"/>
    <xf numFmtId="0" fontId="21" fillId="0" borderId="0" applyNumberFormat="0" applyFont="0" applyFill="0" applyBorder="0" applyAlignment="0" applyProtection="0">
      <alignment horizontal="left"/>
    </xf>
    <xf numFmtId="0" fontId="24" fillId="0" borderId="0"/>
    <xf numFmtId="0" fontId="112" fillId="0" borderId="0"/>
    <xf numFmtId="43" fontId="112"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37" borderId="0" applyNumberFormat="0" applyBorder="0" applyAlignment="0" applyProtection="0"/>
    <xf numFmtId="0" fontId="28" fillId="43"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7" borderId="0" applyNumberFormat="0" applyBorder="0" applyAlignment="0" applyProtection="0"/>
    <xf numFmtId="0" fontId="113" fillId="48" borderId="0" applyNumberFormat="0" applyBorder="0" applyAlignment="0" applyProtection="0"/>
    <xf numFmtId="0" fontId="113" fillId="49" borderId="0" applyNumberFormat="0" applyBorder="0" applyAlignment="0" applyProtection="0"/>
    <xf numFmtId="0" fontId="113" fillId="50"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51" borderId="0" applyNumberFormat="0" applyBorder="0" applyAlignment="0" applyProtection="0"/>
    <xf numFmtId="0" fontId="114" fillId="35" borderId="0" applyNumberFormat="0" applyBorder="0" applyAlignment="0" applyProtection="0"/>
    <xf numFmtId="0" fontId="115" fillId="52" borderId="29" applyNumberFormat="0" applyAlignment="0" applyProtection="0"/>
    <xf numFmtId="41" fontId="13" fillId="0" borderId="0" applyFont="0" applyFill="0" applyBorder="0" applyAlignment="0" applyProtection="0"/>
    <xf numFmtId="0" fontId="117" fillId="0" borderId="0" applyNumberFormat="0" applyFill="0" applyBorder="0" applyAlignment="0" applyProtection="0"/>
    <xf numFmtId="0" fontId="118" fillId="36" borderId="0" applyNumberFormat="0" applyBorder="0" applyAlignment="0" applyProtection="0"/>
    <xf numFmtId="0" fontId="119" fillId="0" borderId="31" applyNumberFormat="0" applyFill="0" applyAlignment="0" applyProtection="0"/>
    <xf numFmtId="0" fontId="120" fillId="0" borderId="32" applyNumberFormat="0" applyFill="0" applyAlignment="0" applyProtection="0"/>
    <xf numFmtId="0" fontId="121" fillId="0" borderId="33" applyNumberFormat="0" applyFill="0" applyAlignment="0" applyProtection="0"/>
    <xf numFmtId="0" fontId="121" fillId="0" borderId="0" applyNumberFormat="0" applyFill="0" applyBorder="0" applyAlignment="0" applyProtection="0"/>
    <xf numFmtId="0" fontId="122" fillId="39" borderId="29" applyNumberFormat="0" applyAlignment="0" applyProtection="0"/>
    <xf numFmtId="0" fontId="123" fillId="0" borderId="34" applyNumberFormat="0" applyFill="0" applyAlignment="0" applyProtection="0"/>
    <xf numFmtId="0" fontId="124" fillId="54" borderId="0" applyNumberFormat="0" applyBorder="0" applyAlignment="0" applyProtection="0"/>
    <xf numFmtId="0" fontId="125" fillId="52" borderId="36" applyNumberFormat="0" applyAlignment="0" applyProtection="0"/>
    <xf numFmtId="0" fontId="126" fillId="0" borderId="37" applyNumberFormat="0" applyFill="0" applyAlignment="0" applyProtection="0"/>
    <xf numFmtId="0" fontId="127" fillId="0" borderId="0" applyNumberFormat="0" applyFill="0" applyBorder="0" applyAlignment="0" applyProtection="0"/>
    <xf numFmtId="0" fontId="6" fillId="0" borderId="0"/>
    <xf numFmtId="43" fontId="6" fillId="0" borderId="0" applyFont="0" applyFill="0" applyBorder="0" applyAlignment="0" applyProtection="0"/>
    <xf numFmtId="0" fontId="28" fillId="3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0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8"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9" fillId="0" borderId="0" applyFont="0" applyFill="0" applyBorder="0" applyAlignment="0" applyProtection="0"/>
    <xf numFmtId="44" fontId="13" fillId="0" borderId="0" applyFont="0" applyFill="0" applyBorder="0" applyAlignment="0" applyProtection="0"/>
    <xf numFmtId="0" fontId="122" fillId="39" borderId="29" applyNumberFormat="0" applyAlignment="0" applyProtection="0"/>
    <xf numFmtId="0" fontId="109" fillId="0" borderId="0"/>
    <xf numFmtId="0" fontId="24" fillId="0" borderId="0"/>
    <xf numFmtId="0" fontId="24" fillId="0" borderId="0"/>
    <xf numFmtId="0" fontId="109" fillId="0" borderId="0"/>
    <xf numFmtId="0" fontId="24" fillId="0" borderId="0"/>
    <xf numFmtId="0" fontId="129" fillId="0" borderId="0"/>
    <xf numFmtId="178" fontId="128" fillId="0" borderId="0"/>
    <xf numFmtId="178" fontId="128" fillId="0" borderId="0"/>
    <xf numFmtId="0" fontId="129" fillId="0" borderId="0"/>
    <xf numFmtId="0" fontId="24" fillId="0" borderId="0"/>
    <xf numFmtId="0" fontId="24" fillId="0" borderId="0"/>
    <xf numFmtId="0" fontId="24" fillId="0" borderId="0"/>
    <xf numFmtId="0" fontId="24" fillId="0" borderId="0"/>
    <xf numFmtId="0" fontId="6" fillId="0" borderId="0"/>
    <xf numFmtId="0" fontId="13" fillId="55" borderId="35" applyNumberFormat="0" applyFont="0" applyAlignment="0" applyProtection="0"/>
    <xf numFmtId="0" fontId="13" fillId="55" borderId="35" applyNumberFormat="0" applyFont="0" applyAlignment="0" applyProtection="0"/>
    <xf numFmtId="0" fontId="13" fillId="55" borderId="35" applyNumberFormat="0" applyFont="0" applyAlignment="0" applyProtection="0"/>
    <xf numFmtId="0" fontId="13" fillId="55" borderId="35" applyNumberFormat="0" applyFont="0" applyAlignment="0" applyProtection="0"/>
    <xf numFmtId="43" fontId="1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9" fillId="0" borderId="0" applyFont="0" applyFill="0" applyBorder="0" applyAlignment="0" applyProtection="0"/>
    <xf numFmtId="43" fontId="13" fillId="0" borderId="0" applyFont="0" applyFill="0" applyBorder="0" applyAlignment="0" applyProtection="0"/>
    <xf numFmtId="0" fontId="6" fillId="0" borderId="0"/>
    <xf numFmtId="43" fontId="6" fillId="0" borderId="0" applyFont="0" applyFill="0" applyBorder="0" applyAlignment="0" applyProtection="0"/>
    <xf numFmtId="0" fontId="28" fillId="3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9"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3" fontId="13" fillId="0" borderId="0" applyFont="0" applyFill="0" applyBorder="0" applyAlignment="0" applyProtection="0"/>
    <xf numFmtId="3" fontId="13"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195" fontId="13" fillId="0" borderId="0" applyFont="0" applyFill="0" applyBorder="0" applyAlignment="0" applyProtection="0"/>
    <xf numFmtId="5" fontId="13" fillId="0" borderId="0" applyFill="0" applyBorder="0" applyAlignment="0" applyProtection="0"/>
    <xf numFmtId="0" fontId="13" fillId="0" borderId="0" applyFont="0" applyFill="0" applyBorder="0" applyAlignment="0" applyProtection="0"/>
    <xf numFmtId="194" fontId="13" fillId="0" borderId="0" applyFill="0" applyBorder="0" applyAlignment="0" applyProtection="0"/>
    <xf numFmtId="3" fontId="131" fillId="0" borderId="0" applyFill="0" applyBorder="0" applyAlignment="0" applyProtection="0"/>
    <xf numFmtId="3" fontId="132" fillId="0" borderId="0" applyFill="0" applyBorder="0" applyAlignment="0" applyProtection="0"/>
    <xf numFmtId="3" fontId="133" fillId="0" borderId="0" applyFill="0" applyBorder="0" applyAlignment="0" applyProtection="0"/>
    <xf numFmtId="3" fontId="111" fillId="0" borderId="0" applyFill="0" applyBorder="0" applyAlignment="0" applyProtection="0"/>
    <xf numFmtId="3" fontId="134" fillId="0" borderId="0" applyFill="0" applyBorder="0" applyAlignment="0" applyProtection="0"/>
    <xf numFmtId="3" fontId="18" fillId="0" borderId="0" applyFill="0" applyBorder="0" applyAlignment="0" applyProtection="0"/>
    <xf numFmtId="3" fontId="135" fillId="0" borderId="0" applyFill="0" applyBorder="0" applyAlignment="0" applyProtection="0"/>
    <xf numFmtId="2" fontId="13" fillId="0" borderId="0" applyFill="0" applyBorder="0" applyAlignment="0" applyProtection="0"/>
    <xf numFmtId="0" fontId="122" fillId="39" borderId="29" applyNumberFormat="0" applyAlignment="0" applyProtection="0"/>
    <xf numFmtId="0" fontId="109" fillId="0" borderId="0"/>
    <xf numFmtId="0" fontId="6" fillId="0" borderId="0"/>
    <xf numFmtId="0" fontId="24" fillId="0" borderId="0"/>
    <xf numFmtId="0" fontId="6"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43" fontId="112" fillId="0" borderId="0" applyFont="0" applyFill="0" applyBorder="0" applyAlignment="0" applyProtection="0"/>
    <xf numFmtId="0" fontId="136" fillId="0" borderId="0"/>
    <xf numFmtId="43" fontId="33" fillId="0" borderId="0" applyFont="0" applyFill="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0" borderId="0"/>
    <xf numFmtId="0" fontId="5" fillId="9" borderId="27" applyNumberFormat="0" applyFont="0" applyAlignment="0" applyProtection="0"/>
    <xf numFmtId="43" fontId="33" fillId="0" borderId="0" applyFont="0" applyFill="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27" applyNumberFormat="0" applyFont="0" applyAlignment="0" applyProtection="0"/>
    <xf numFmtId="43" fontId="33" fillId="0" borderId="0" applyFont="0" applyFill="0" applyBorder="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9" borderId="27" applyNumberFormat="0" applyFont="0" applyAlignment="0" applyProtection="0"/>
    <xf numFmtId="0" fontId="5" fillId="19" borderId="0" applyNumberFormat="0" applyBorder="0" applyAlignment="0" applyProtection="0"/>
    <xf numFmtId="0" fontId="5" fillId="0" borderId="0"/>
    <xf numFmtId="0" fontId="5" fillId="16"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27" applyNumberFormat="0" applyFont="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9" borderId="27" applyNumberFormat="0" applyFont="0" applyAlignment="0" applyProtection="0"/>
    <xf numFmtId="0" fontId="5" fillId="19" borderId="0" applyNumberFormat="0" applyBorder="0" applyAlignment="0" applyProtection="0"/>
    <xf numFmtId="0" fontId="5" fillId="0" borderId="0"/>
    <xf numFmtId="0" fontId="5" fillId="16"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0" borderId="0"/>
    <xf numFmtId="0" fontId="5" fillId="9" borderId="27"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4" fillId="9" borderId="27" applyNumberFormat="0" applyFont="0" applyAlignment="0" applyProtection="0"/>
    <xf numFmtId="0" fontId="137"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4" fillId="0" borderId="0"/>
    <xf numFmtId="0" fontId="18" fillId="0" borderId="0"/>
    <xf numFmtId="0" fontId="18" fillId="0" borderId="0"/>
    <xf numFmtId="43" fontId="30" fillId="0" borderId="0" applyFont="0" applyFill="0" applyBorder="0" applyAlignment="0" applyProtection="0"/>
    <xf numFmtId="0" fontId="3" fillId="0" borderId="0"/>
    <xf numFmtId="0" fontId="18" fillId="0" borderId="0"/>
    <xf numFmtId="9"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38" fillId="0" borderId="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cellStyleXfs>
  <cellXfs count="613">
    <xf numFmtId="0" fontId="0" fillId="0" borderId="0" xfId="0"/>
    <xf numFmtId="3" fontId="13" fillId="0" borderId="0" xfId="22" applyNumberFormat="1" applyFont="1" applyFill="1"/>
    <xf numFmtId="164" fontId="13" fillId="0" borderId="0" xfId="1" applyNumberFormat="1" applyFont="1" applyFill="1" applyBorder="1"/>
    <xf numFmtId="164" fontId="13" fillId="0" borderId="0" xfId="1" applyNumberFormat="1" applyFont="1" applyFill="1"/>
    <xf numFmtId="0" fontId="13" fillId="0" borderId="0" xfId="18" applyFont="1" applyFill="1" applyAlignment="1"/>
    <xf numFmtId="1" fontId="13" fillId="0" borderId="0" xfId="18" applyNumberFormat="1" applyFont="1" applyFill="1" applyAlignment="1">
      <alignment horizontal="center"/>
    </xf>
    <xf numFmtId="0" fontId="13" fillId="0" borderId="0" xfId="18" applyNumberFormat="1" applyFont="1" applyFill="1" applyAlignment="1">
      <alignment horizontal="center"/>
    </xf>
    <xf numFmtId="164" fontId="13" fillId="0" borderId="0" xfId="1" applyNumberFormat="1" applyFont="1" applyFill="1" applyAlignment="1">
      <alignment horizontal="center"/>
    </xf>
    <xf numFmtId="0" fontId="13" fillId="0" borderId="0" xfId="18" applyFont="1" applyFill="1" applyAlignment="1">
      <alignment horizontal="center"/>
    </xf>
    <xf numFmtId="3" fontId="13" fillId="0" borderId="0" xfId="22" applyNumberFormat="1" applyFont="1" applyFill="1" applyBorder="1"/>
    <xf numFmtId="5" fontId="13" fillId="0" borderId="0" xfId="5" applyNumberFormat="1" applyFont="1" applyFill="1" applyBorder="1" applyAlignment="1">
      <alignment horizontal="right"/>
    </xf>
    <xf numFmtId="5" fontId="12" fillId="0" borderId="0" xfId="5" applyNumberFormat="1" applyFont="1" applyFill="1" applyBorder="1" applyAlignment="1">
      <alignment horizontal="right"/>
    </xf>
    <xf numFmtId="44" fontId="13" fillId="0" borderId="0" xfId="5" applyFont="1" applyFill="1"/>
    <xf numFmtId="166" fontId="13" fillId="0" borderId="4" xfId="5" applyNumberFormat="1" applyFont="1" applyFill="1" applyBorder="1"/>
    <xf numFmtId="164" fontId="13" fillId="0" borderId="0" xfId="1" applyNumberFormat="1" applyFont="1" applyFill="1" applyProtection="1"/>
    <xf numFmtId="174" fontId="13" fillId="0" borderId="0" xfId="1" applyNumberFormat="1" applyFont="1" applyFill="1" applyAlignment="1"/>
    <xf numFmtId="174" fontId="13" fillId="0" borderId="0" xfId="1" applyNumberFormat="1" applyFont="1" applyFill="1" applyBorder="1" applyAlignment="1"/>
    <xf numFmtId="164" fontId="13" fillId="0" borderId="0" xfId="1" applyNumberFormat="1" applyFont="1" applyFill="1" applyAlignment="1"/>
    <xf numFmtId="164" fontId="13" fillId="0" borderId="0" xfId="1" applyNumberFormat="1" applyFont="1" applyFill="1" applyBorder="1" applyAlignment="1"/>
    <xf numFmtId="44" fontId="13" fillId="0" borderId="0" xfId="5" applyFont="1" applyFill="1" applyAlignment="1">
      <alignment horizontal="center"/>
    </xf>
    <xf numFmtId="40" fontId="13" fillId="0" borderId="0" xfId="2" applyFont="1" applyFill="1"/>
    <xf numFmtId="10" fontId="13" fillId="0" borderId="0" xfId="22" applyNumberFormat="1" applyFont="1" applyFill="1"/>
    <xf numFmtId="40" fontId="13" fillId="0" borderId="0" xfId="2" applyFont="1" applyFill="1" applyAlignment="1">
      <alignment horizontal="center"/>
    </xf>
    <xf numFmtId="43" fontId="13" fillId="0" borderId="0" xfId="1" applyFont="1" applyFill="1" applyAlignment="1">
      <alignment horizontal="center"/>
    </xf>
    <xf numFmtId="0" fontId="13" fillId="0" borderId="0" xfId="18" applyFont="1" applyFill="1" applyAlignment="1">
      <alignment horizontal="right"/>
    </xf>
    <xf numFmtId="40" fontId="12" fillId="0" borderId="1" xfId="2" applyFont="1" applyFill="1" applyBorder="1" applyAlignment="1">
      <alignment horizontal="center" wrapText="1"/>
    </xf>
    <xf numFmtId="43" fontId="13" fillId="0" borderId="0" xfId="1" applyFont="1" applyFill="1" applyAlignment="1"/>
    <xf numFmtId="166" fontId="13" fillId="0" borderId="0" xfId="5" applyNumberFormat="1" applyFont="1" applyFill="1" applyBorder="1" applyProtection="1"/>
    <xf numFmtId="40" fontId="13" fillId="0" borderId="0" xfId="2" applyFont="1" applyFill="1" applyAlignment="1" applyProtection="1">
      <alignment horizontal="center"/>
      <protection locked="0"/>
    </xf>
    <xf numFmtId="164" fontId="12" fillId="0" borderId="0" xfId="1" applyNumberFormat="1" applyFont="1" applyFill="1" applyAlignment="1" applyProtection="1">
      <alignment horizontal="right"/>
    </xf>
    <xf numFmtId="164" fontId="13" fillId="0" borderId="0" xfId="1" applyNumberFormat="1" applyFont="1" applyFill="1" applyAlignment="1" applyProtection="1">
      <alignment horizontal="right"/>
    </xf>
    <xf numFmtId="170" fontId="13" fillId="0" borderId="0" xfId="1" applyNumberFormat="1" applyFont="1" applyFill="1" applyAlignment="1" applyProtection="1">
      <alignment horizontal="right"/>
    </xf>
    <xf numFmtId="173" fontId="13" fillId="0" borderId="0" xfId="1" applyNumberFormat="1" applyFont="1" applyFill="1" applyAlignment="1" applyProtection="1">
      <alignment horizontal="right"/>
    </xf>
    <xf numFmtId="10" fontId="13" fillId="0" borderId="0" xfId="17" applyNumberFormat="1" applyFont="1" applyFill="1" applyBorder="1" applyProtection="1"/>
    <xf numFmtId="43" fontId="13" fillId="0" borderId="1" xfId="1" applyFont="1" applyFill="1" applyBorder="1" applyAlignment="1" applyProtection="1">
      <alignment horizontal="center" wrapText="1"/>
    </xf>
    <xf numFmtId="0" fontId="13" fillId="0" borderId="0" xfId="18" applyFont="1" applyFill="1" applyAlignment="1" applyProtection="1"/>
    <xf numFmtId="0" fontId="13" fillId="0" borderId="0" xfId="18" applyFont="1" applyFill="1" applyBorder="1" applyAlignment="1" applyProtection="1"/>
    <xf numFmtId="166" fontId="13" fillId="0" borderId="19" xfId="1" applyNumberFormat="1" applyFont="1" applyFill="1" applyBorder="1" applyProtection="1"/>
    <xf numFmtId="43" fontId="13" fillId="0" borderId="0" xfId="1" applyFont="1" applyFill="1" applyBorder="1" applyProtection="1"/>
    <xf numFmtId="43" fontId="13" fillId="0" borderId="0" xfId="1" applyFont="1" applyFill="1" applyProtection="1"/>
    <xf numFmtId="189" fontId="13" fillId="0" borderId="0" xfId="1" applyNumberFormat="1" applyFont="1" applyFill="1" applyAlignment="1" applyProtection="1">
      <alignment horizontal="right"/>
    </xf>
    <xf numFmtId="165" fontId="13" fillId="0" borderId="0" xfId="1" applyNumberFormat="1" applyFont="1" applyFill="1" applyAlignment="1" applyProtection="1">
      <alignment horizontal="right"/>
    </xf>
    <xf numFmtId="181" fontId="13" fillId="0" borderId="0" xfId="1" applyNumberFormat="1" applyFont="1" applyFill="1" applyAlignment="1" applyProtection="1">
      <alignment horizontal="right"/>
    </xf>
    <xf numFmtId="1" fontId="13" fillId="0" borderId="0" xfId="17" applyNumberFormat="1" applyFont="1" applyFill="1" applyBorder="1" applyProtection="1"/>
    <xf numFmtId="10" fontId="13" fillId="0" borderId="0" xfId="17" applyNumberFormat="1" applyFont="1" applyFill="1" applyProtection="1"/>
    <xf numFmtId="1" fontId="13" fillId="0" borderId="0" xfId="18" applyNumberFormat="1" applyFont="1" applyFill="1" applyAlignment="1" applyProtection="1">
      <alignment horizontal="center"/>
    </xf>
    <xf numFmtId="0" fontId="13" fillId="0" borderId="0" xfId="18" applyNumberFormat="1" applyFont="1" applyFill="1" applyAlignment="1" applyProtection="1">
      <alignment horizontal="center"/>
    </xf>
    <xf numFmtId="0" fontId="12" fillId="0" borderId="0" xfId="18" applyFont="1" applyFill="1" applyAlignment="1" applyProtection="1">
      <alignment horizontal="right"/>
    </xf>
    <xf numFmtId="0" fontId="13" fillId="0" borderId="0" xfId="18" applyFont="1" applyFill="1" applyAlignment="1" applyProtection="1">
      <alignment horizontal="center"/>
    </xf>
    <xf numFmtId="3" fontId="13" fillId="0" borderId="0" xfId="22" applyNumberFormat="1" applyFont="1" applyFill="1" applyProtection="1"/>
    <xf numFmtId="0" fontId="12" fillId="0" borderId="0" xfId="18" applyFont="1" applyFill="1" applyAlignment="1" applyProtection="1">
      <alignment horizontal="center"/>
    </xf>
    <xf numFmtId="3" fontId="12" fillId="0" borderId="0" xfId="22" applyNumberFormat="1" applyFont="1" applyFill="1" applyAlignment="1" applyProtection="1">
      <alignment horizontal="center" wrapText="1"/>
    </xf>
    <xf numFmtId="3" fontId="13" fillId="0" borderId="0" xfId="18" applyNumberFormat="1" applyFont="1" applyFill="1" applyAlignment="1" applyProtection="1">
      <alignment horizontal="right"/>
    </xf>
    <xf numFmtId="3" fontId="13" fillId="0" borderId="0" xfId="18" applyNumberFormat="1" applyFont="1" applyFill="1" applyAlignment="1" applyProtection="1">
      <alignment horizontal="center"/>
    </xf>
    <xf numFmtId="3" fontId="13" fillId="0" borderId="0" xfId="18" applyNumberFormat="1" applyFont="1" applyFill="1" applyBorder="1" applyAlignment="1" applyProtection="1">
      <alignment horizontal="center"/>
    </xf>
    <xf numFmtId="0" fontId="12" fillId="0" borderId="1" xfId="18" applyFont="1" applyFill="1" applyBorder="1" applyAlignment="1" applyProtection="1">
      <alignment horizontal="center"/>
    </xf>
    <xf numFmtId="1" fontId="12" fillId="0" borderId="1" xfId="18" applyNumberFormat="1" applyFont="1" applyFill="1" applyBorder="1" applyAlignment="1" applyProtection="1">
      <alignment horizontal="center"/>
    </xf>
    <xf numFmtId="3" fontId="13" fillId="0" borderId="4" xfId="22" applyNumberFormat="1" applyFont="1" applyFill="1" applyBorder="1" applyProtection="1"/>
    <xf numFmtId="3" fontId="13" fillId="0" borderId="0" xfId="22" applyNumberFormat="1" applyFont="1" applyFill="1" applyBorder="1" applyProtection="1"/>
    <xf numFmtId="164" fontId="13" fillId="0" borderId="4" xfId="3" applyNumberFormat="1" applyFont="1" applyFill="1" applyBorder="1" applyAlignment="1" applyProtection="1">
      <alignment horizontal="center"/>
    </xf>
    <xf numFmtId="0" fontId="13" fillId="0" borderId="0" xfId="18" applyFont="1" applyFill="1" applyAlignment="1" applyProtection="1">
      <alignment horizontal="left"/>
    </xf>
    <xf numFmtId="0" fontId="13" fillId="0" borderId="0" xfId="18" applyNumberFormat="1" applyFont="1" applyFill="1" applyAlignment="1" applyProtection="1"/>
    <xf numFmtId="166" fontId="13" fillId="0" borderId="0" xfId="6" applyNumberFormat="1" applyFont="1" applyFill="1" applyAlignment="1" applyProtection="1"/>
    <xf numFmtId="164" fontId="13" fillId="0" borderId="0" xfId="1" applyNumberFormat="1" applyFont="1" applyFill="1" applyAlignment="1" applyProtection="1"/>
    <xf numFmtId="165" fontId="13" fillId="0" borderId="0" xfId="1" applyNumberFormat="1" applyFont="1" applyFill="1" applyBorder="1" applyAlignment="1" applyProtection="1"/>
    <xf numFmtId="174" fontId="12" fillId="0" borderId="0" xfId="5" applyNumberFormat="1" applyFont="1" applyFill="1" applyProtection="1"/>
    <xf numFmtId="10" fontId="13" fillId="0" borderId="0" xfId="17" applyNumberFormat="1" applyFont="1" applyFill="1"/>
    <xf numFmtId="190" fontId="13" fillId="0" borderId="0" xfId="18" applyNumberFormat="1" applyFont="1" applyFill="1" applyBorder="1" applyAlignment="1" applyProtection="1">
      <alignment horizontal="center" vertical="center"/>
    </xf>
    <xf numFmtId="1" fontId="13" fillId="0" borderId="0" xfId="18" applyNumberFormat="1" applyFont="1" applyFill="1" applyAlignment="1" applyProtection="1">
      <alignment horizontal="center" vertical="center"/>
    </xf>
    <xf numFmtId="0" fontId="13" fillId="0" borderId="0" xfId="18" applyNumberFormat="1" applyFont="1" applyFill="1" applyAlignment="1" applyProtection="1">
      <alignment horizontal="center" vertical="center"/>
    </xf>
    <xf numFmtId="164" fontId="13" fillId="0" borderId="0"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3" fillId="0" borderId="3" xfId="1" applyNumberFormat="1" applyFont="1" applyFill="1" applyBorder="1" applyAlignment="1" applyProtection="1">
      <alignment vertical="center"/>
    </xf>
    <xf numFmtId="164" fontId="13" fillId="0" borderId="0" xfId="1" applyNumberFormat="1" applyFont="1" applyFill="1" applyAlignment="1" applyProtection="1">
      <alignment horizontal="center" vertical="center"/>
    </xf>
    <xf numFmtId="164" fontId="13" fillId="0" borderId="3" xfId="1" applyNumberFormat="1" applyFont="1" applyFill="1" applyBorder="1" applyAlignment="1" applyProtection="1">
      <alignment horizontal="center" vertical="center"/>
    </xf>
    <xf numFmtId="40" fontId="13" fillId="0" borderId="0" xfId="2" applyFont="1" applyFill="1" applyProtection="1"/>
    <xf numFmtId="40" fontId="12" fillId="0" borderId="1" xfId="2" applyFont="1" applyFill="1" applyBorder="1" applyAlignment="1" applyProtection="1">
      <alignment horizontal="center" wrapText="1"/>
    </xf>
    <xf numFmtId="10" fontId="13" fillId="0" borderId="0" xfId="22" applyNumberFormat="1" applyFont="1" applyFill="1" applyAlignment="1" applyProtection="1">
      <alignment horizontal="center"/>
    </xf>
    <xf numFmtId="43" fontId="13" fillId="0" borderId="0" xfId="1" applyFont="1" applyFill="1" applyAlignment="1" applyProtection="1">
      <alignment horizontal="center"/>
    </xf>
    <xf numFmtId="40" fontId="13" fillId="0" borderId="0" xfId="2" applyFont="1" applyFill="1" applyAlignment="1" applyProtection="1">
      <alignment horizontal="center"/>
    </xf>
    <xf numFmtId="164" fontId="13" fillId="0" borderId="0" xfId="1" applyNumberFormat="1" applyFont="1" applyFill="1" applyAlignment="1" applyProtection="1">
      <alignment horizontal="center"/>
    </xf>
    <xf numFmtId="164" fontId="13" fillId="0" borderId="4" xfId="1" applyNumberFormat="1" applyFont="1" applyFill="1" applyBorder="1" applyProtection="1"/>
    <xf numFmtId="164" fontId="13" fillId="0" borderId="4" xfId="1" applyNumberFormat="1" applyFont="1" applyFill="1" applyBorder="1" applyAlignment="1" applyProtection="1">
      <alignment horizontal="center"/>
    </xf>
    <xf numFmtId="164" fontId="13" fillId="0" borderId="0" xfId="2" applyNumberFormat="1" applyFont="1" applyFill="1" applyProtection="1"/>
    <xf numFmtId="166" fontId="13" fillId="0" borderId="0" xfId="5" applyNumberFormat="1" applyFont="1" applyFill="1" applyProtection="1"/>
    <xf numFmtId="38" fontId="13" fillId="0" borderId="0" xfId="5" applyNumberFormat="1" applyFont="1" applyFill="1" applyProtection="1"/>
    <xf numFmtId="166" fontId="13" fillId="0" borderId="4" xfId="5" applyNumberFormat="1" applyFont="1" applyFill="1" applyBorder="1" applyProtection="1"/>
    <xf numFmtId="44" fontId="15" fillId="0" borderId="0" xfId="5" applyFont="1" applyFill="1" applyBorder="1" applyAlignment="1" applyProtection="1">
      <alignment horizontal="center"/>
    </xf>
    <xf numFmtId="166" fontId="17" fillId="0" borderId="0" xfId="5" applyNumberFormat="1" applyFont="1" applyFill="1" applyBorder="1" applyProtection="1"/>
    <xf numFmtId="41" fontId="13" fillId="0" borderId="0" xfId="22" applyNumberFormat="1" applyFont="1" applyFill="1" applyProtection="1"/>
    <xf numFmtId="41" fontId="13" fillId="0" borderId="0" xfId="22" applyNumberFormat="1" applyFont="1" applyFill="1" applyBorder="1" applyProtection="1"/>
    <xf numFmtId="5" fontId="13" fillId="0" borderId="0" xfId="1" applyNumberFormat="1" applyFont="1" applyFill="1" applyProtection="1"/>
    <xf numFmtId="38" fontId="13" fillId="0" borderId="0" xfId="1" applyNumberFormat="1" applyFont="1" applyFill="1" applyProtection="1"/>
    <xf numFmtId="43" fontId="13" fillId="0" borderId="0" xfId="1" applyFont="1" applyFill="1" applyAlignment="1" applyProtection="1">
      <alignment horizontal="left"/>
    </xf>
    <xf numFmtId="6" fontId="13" fillId="0" borderId="0" xfId="1" applyNumberFormat="1" applyFont="1" applyFill="1" applyProtection="1"/>
    <xf numFmtId="174" fontId="13" fillId="0" borderId="0" xfId="1" applyNumberFormat="1" applyFont="1" applyFill="1" applyProtection="1"/>
    <xf numFmtId="3" fontId="13" fillId="0" borderId="0" xfId="22" applyNumberFormat="1" applyFont="1" applyFill="1" applyBorder="1" applyAlignment="1" applyProtection="1">
      <alignment horizontal="right"/>
    </xf>
    <xf numFmtId="3" fontId="13" fillId="0" borderId="4" xfId="18" applyNumberFormat="1" applyFont="1" applyFill="1" applyBorder="1" applyAlignment="1" applyProtection="1">
      <alignment horizontal="right"/>
    </xf>
    <xf numFmtId="0" fontId="13" fillId="0" borderId="0" xfId="18" quotePrefix="1" applyNumberFormat="1" applyFont="1" applyFill="1" applyAlignment="1" applyProtection="1"/>
    <xf numFmtId="37" fontId="13" fillId="0" borderId="3" xfId="1" applyNumberFormat="1" applyFont="1" applyFill="1" applyBorder="1" applyAlignment="1" applyProtection="1"/>
    <xf numFmtId="37" fontId="13" fillId="0" borderId="0" xfId="1" applyNumberFormat="1" applyFont="1" applyFill="1" applyBorder="1" applyAlignment="1" applyProtection="1"/>
    <xf numFmtId="193" fontId="13" fillId="0" borderId="0" xfId="17" applyNumberFormat="1" applyFont="1" applyFill="1" applyProtection="1"/>
    <xf numFmtId="10" fontId="24" fillId="0" borderId="0" xfId="17" applyNumberFormat="1" applyFont="1" applyFill="1" applyAlignment="1" applyProtection="1">
      <alignment horizontal="center"/>
    </xf>
    <xf numFmtId="42" fontId="13" fillId="0" borderId="0" xfId="5" applyNumberFormat="1" applyFont="1" applyFill="1" applyBorder="1" applyProtection="1"/>
    <xf numFmtId="37" fontId="13" fillId="0" borderId="0" xfId="18" applyNumberFormat="1" applyFont="1" applyFill="1" applyAlignment="1" applyProtection="1">
      <alignment horizontal="right"/>
    </xf>
    <xf numFmtId="177" fontId="13" fillId="0" borderId="4" xfId="17" applyNumberFormat="1" applyFont="1" applyFill="1" applyBorder="1" applyProtection="1"/>
    <xf numFmtId="177" fontId="15" fillId="0" borderId="0" xfId="17" applyNumberFormat="1" applyFont="1" applyFill="1" applyAlignment="1" applyProtection="1">
      <alignment horizontal="right"/>
    </xf>
    <xf numFmtId="177" fontId="13" fillId="0" borderId="0" xfId="17" applyNumberFormat="1" applyFont="1" applyFill="1" applyProtection="1"/>
    <xf numFmtId="177" fontId="15" fillId="0" borderId="0" xfId="17" applyNumberFormat="1" applyFont="1" applyFill="1" applyProtection="1"/>
    <xf numFmtId="177" fontId="13" fillId="0" borderId="0" xfId="17" applyNumberFormat="1" applyFont="1" applyFill="1" applyBorder="1" applyProtection="1"/>
    <xf numFmtId="177" fontId="12" fillId="0" borderId="0" xfId="17" applyNumberFormat="1" applyFont="1" applyFill="1" applyBorder="1" applyProtection="1"/>
    <xf numFmtId="177" fontId="13" fillId="0" borderId="4" xfId="17" applyNumberFormat="1" applyFont="1" applyFill="1" applyBorder="1" applyAlignment="1" applyProtection="1">
      <alignment horizontal="right"/>
    </xf>
    <xf numFmtId="37" fontId="13" fillId="0" borderId="0" xfId="22" applyNumberFormat="1" applyFont="1" applyFill="1" applyBorder="1" applyAlignment="1" applyProtection="1">
      <alignment horizontal="right"/>
    </xf>
    <xf numFmtId="3" fontId="13" fillId="0" borderId="0" xfId="22" applyNumberFormat="1" applyFont="1" applyFill="1" applyProtection="1">
      <protection locked="0"/>
    </xf>
    <xf numFmtId="166" fontId="13" fillId="0" borderId="19" xfId="5" applyNumberFormat="1" applyFont="1" applyFill="1" applyBorder="1"/>
    <xf numFmtId="177" fontId="24" fillId="0" borderId="0" xfId="7102" applyNumberFormat="1" applyFont="1" applyFill="1"/>
    <xf numFmtId="43" fontId="0" fillId="0" borderId="0" xfId="1" applyFont="1" applyFill="1" applyAlignment="1">
      <alignment horizontal="left"/>
    </xf>
    <xf numFmtId="177" fontId="24" fillId="0" borderId="0" xfId="7102" applyNumberFormat="1" applyFont="1" applyFill="1" applyProtection="1"/>
    <xf numFmtId="43" fontId="0" fillId="0" borderId="0" xfId="1" applyFont="1" applyFill="1"/>
    <xf numFmtId="174" fontId="13" fillId="0" borderId="0" xfId="5" applyNumberFormat="1" applyFont="1" applyFill="1" applyProtection="1"/>
    <xf numFmtId="43" fontId="12" fillId="0" borderId="0" xfId="1" applyFont="1" applyFill="1" applyAlignment="1" applyProtection="1">
      <alignment horizontal="center"/>
    </xf>
    <xf numFmtId="164" fontId="13" fillId="0" borderId="38" xfId="1" applyNumberFormat="1" applyFont="1" applyFill="1" applyBorder="1"/>
    <xf numFmtId="43" fontId="13" fillId="0" borderId="0" xfId="1" applyFont="1" applyFill="1"/>
    <xf numFmtId="41" fontId="13" fillId="0" borderId="4" xfId="5" applyNumberFormat="1" applyFont="1" applyFill="1" applyBorder="1" applyAlignment="1" applyProtection="1"/>
    <xf numFmtId="5" fontId="13" fillId="0" borderId="0" xfId="1" applyNumberFormat="1" applyFont="1" applyFill="1" applyAlignment="1" applyProtection="1">
      <alignment horizontal="right"/>
    </xf>
    <xf numFmtId="166" fontId="12" fillId="0" borderId="0" xfId="5" applyNumberFormat="1" applyFont="1" applyFill="1" applyBorder="1" applyAlignment="1" applyProtection="1">
      <alignment horizontal="right"/>
    </xf>
    <xf numFmtId="166" fontId="13" fillId="0" borderId="0" xfId="5" applyNumberFormat="1" applyFont="1" applyFill="1" applyBorder="1" applyAlignment="1" applyProtection="1">
      <alignment horizontal="right"/>
    </xf>
    <xf numFmtId="166" fontId="13" fillId="0" borderId="0" xfId="5" applyNumberFormat="1" applyFont="1" applyFill="1" applyAlignment="1" applyProtection="1">
      <alignment horizontal="right"/>
    </xf>
    <xf numFmtId="166" fontId="13" fillId="0" borderId="4" xfId="5" applyNumberFormat="1" applyFont="1" applyFill="1" applyBorder="1" applyAlignment="1" applyProtection="1">
      <alignment horizontal="right"/>
    </xf>
    <xf numFmtId="9" fontId="13" fillId="0" borderId="0" xfId="17" applyFont="1" applyFill="1" applyBorder="1" applyProtection="1"/>
    <xf numFmtId="166" fontId="12" fillId="0" borderId="0" xfId="5" applyNumberFormat="1" applyFont="1" applyFill="1" applyAlignment="1" applyProtection="1">
      <alignment horizontal="right"/>
    </xf>
    <xf numFmtId="166" fontId="13" fillId="0" borderId="0" xfId="5" applyNumberFormat="1" applyFont="1" applyFill="1" applyBorder="1" applyAlignment="1" applyProtection="1"/>
    <xf numFmtId="166" fontId="109" fillId="0" borderId="19" xfId="5" applyNumberFormat="1" applyFont="1" applyFill="1" applyBorder="1"/>
    <xf numFmtId="166" fontId="109" fillId="0" borderId="0" xfId="5" applyNumberFormat="1" applyFont="1" applyFill="1"/>
    <xf numFmtId="177" fontId="24" fillId="0" borderId="0" xfId="7102" applyNumberFormat="1" applyFont="1" applyFill="1" applyBorder="1" applyProtection="1"/>
    <xf numFmtId="38" fontId="13" fillId="0" borderId="0" xfId="5" applyNumberFormat="1" applyFont="1" applyFill="1" applyProtection="1">
      <protection locked="0"/>
    </xf>
    <xf numFmtId="38" fontId="13" fillId="0" borderId="0" xfId="5" applyNumberFormat="1" applyFont="1" applyFill="1"/>
    <xf numFmtId="38" fontId="24" fillId="0" borderId="0" xfId="28706" applyNumberFormat="1" applyFont="1" applyFill="1"/>
    <xf numFmtId="177" fontId="24" fillId="0" borderId="3" xfId="7102" applyNumberFormat="1" applyFont="1" applyFill="1" applyBorder="1" applyProtection="1"/>
    <xf numFmtId="166" fontId="13" fillId="0" borderId="0" xfId="5" applyNumberFormat="1" applyFont="1" applyFill="1"/>
    <xf numFmtId="166" fontId="13" fillId="0" borderId="0" xfId="5" applyNumberFormat="1" applyFont="1" applyFill="1" applyBorder="1"/>
    <xf numFmtId="177" fontId="13" fillId="0" borderId="0" xfId="17" applyNumberFormat="1" applyFont="1" applyFill="1" applyAlignment="1" applyProtection="1">
      <alignment horizontal="right"/>
    </xf>
    <xf numFmtId="177" fontId="109" fillId="0" borderId="0" xfId="17" applyNumberFormat="1" applyFont="1" applyFill="1"/>
    <xf numFmtId="177" fontId="13" fillId="0" borderId="0" xfId="17" applyNumberFormat="1" applyFont="1" applyFill="1" applyBorder="1" applyAlignment="1" applyProtection="1"/>
    <xf numFmtId="177" fontId="13" fillId="0" borderId="0" xfId="17" applyNumberFormat="1" applyFont="1" applyFill="1"/>
    <xf numFmtId="164" fontId="13" fillId="0" borderId="0" xfId="1" applyNumberFormat="1" applyFont="1" applyFill="1" applyBorder="1" applyAlignment="1" applyProtection="1">
      <alignment horizontal="right"/>
    </xf>
    <xf numFmtId="177" fontId="12" fillId="0" borderId="4" xfId="17" applyNumberFormat="1" applyFont="1" applyFill="1" applyBorder="1" applyProtection="1"/>
    <xf numFmtId="177" fontId="13" fillId="0" borderId="0" xfId="17" applyNumberFormat="1" applyFont="1" applyFill="1" applyBorder="1" applyAlignment="1" applyProtection="1">
      <alignment horizontal="center"/>
    </xf>
    <xf numFmtId="164" fontId="24" fillId="0" borderId="0" xfId="28706" applyNumberFormat="1" applyFont="1" applyFill="1"/>
    <xf numFmtId="177" fontId="24" fillId="0" borderId="0" xfId="7102" applyNumberFormat="1" applyFont="1" applyFill="1" applyBorder="1"/>
    <xf numFmtId="40" fontId="13" fillId="0" borderId="0" xfId="22" applyNumberFormat="1" applyFont="1" applyFill="1" applyProtection="1"/>
    <xf numFmtId="166" fontId="13" fillId="0" borderId="3" xfId="5" applyNumberFormat="1" applyFont="1" applyFill="1" applyBorder="1"/>
    <xf numFmtId="164" fontId="13" fillId="0" borderId="3" xfId="1" applyNumberFormat="1" applyFont="1" applyFill="1" applyBorder="1" applyAlignment="1" applyProtection="1">
      <alignment horizontal="right"/>
    </xf>
    <xf numFmtId="38" fontId="13" fillId="0" borderId="3" xfId="1" applyNumberFormat="1" applyFont="1" applyFill="1" applyBorder="1" applyProtection="1"/>
    <xf numFmtId="166" fontId="13" fillId="0" borderId="0" xfId="5" applyNumberFormat="1" applyFont="1" applyFill="1" applyAlignment="1">
      <alignment horizontal="right"/>
    </xf>
    <xf numFmtId="198" fontId="13" fillId="0" borderId="0" xfId="17" applyNumberFormat="1" applyFont="1" applyFill="1" applyAlignment="1">
      <alignment horizontal="center"/>
    </xf>
    <xf numFmtId="198" fontId="13" fillId="0" borderId="0" xfId="17" applyNumberFormat="1" applyFont="1" applyFill="1" applyAlignment="1" applyProtection="1">
      <alignment horizontal="center"/>
    </xf>
    <xf numFmtId="166" fontId="13" fillId="0" borderId="3" xfId="5" applyNumberFormat="1" applyFont="1" applyFill="1" applyBorder="1" applyAlignment="1">
      <alignment horizontal="right"/>
    </xf>
    <xf numFmtId="198" fontId="13" fillId="0" borderId="0" xfId="17" applyNumberFormat="1" applyFont="1" applyFill="1" applyBorder="1" applyAlignment="1" applyProtection="1">
      <alignment horizontal="center"/>
    </xf>
    <xf numFmtId="166" fontId="12" fillId="0" borderId="0" xfId="5" applyNumberFormat="1" applyFont="1" applyFill="1"/>
    <xf numFmtId="166" fontId="12" fillId="0" borderId="0" xfId="5" applyNumberFormat="1" applyFont="1" applyFill="1" applyAlignment="1">
      <alignment horizontal="right"/>
    </xf>
    <xf numFmtId="164" fontId="13" fillId="0" borderId="3" xfId="1" applyNumberFormat="1" applyFont="1" applyFill="1" applyBorder="1" applyAlignment="1" applyProtection="1">
      <alignment horizontal="center"/>
    </xf>
    <xf numFmtId="164" fontId="12" fillId="0" borderId="0" xfId="1" applyNumberFormat="1" applyFont="1" applyFill="1" applyBorder="1" applyAlignment="1" applyProtection="1">
      <alignment horizontal="right"/>
    </xf>
    <xf numFmtId="177" fontId="13" fillId="0" borderId="3" xfId="17" applyNumberFormat="1" applyFont="1" applyFill="1" applyBorder="1" applyAlignment="1" applyProtection="1"/>
    <xf numFmtId="44" fontId="13" fillId="0" borderId="0" xfId="5" applyFont="1" applyFill="1" applyBorder="1" applyProtection="1"/>
    <xf numFmtId="44" fontId="13" fillId="0" borderId="19" xfId="5" applyFont="1" applyFill="1" applyBorder="1" applyProtection="1"/>
    <xf numFmtId="10" fontId="13" fillId="0" borderId="0" xfId="22" applyNumberFormat="1" applyFont="1" applyFill="1" applyBorder="1"/>
    <xf numFmtId="43" fontId="13" fillId="0" borderId="0" xfId="1" applyFont="1" applyFill="1" applyBorder="1" applyAlignment="1"/>
    <xf numFmtId="166" fontId="13" fillId="0" borderId="4" xfId="1" applyNumberFormat="1" applyFont="1" applyFill="1" applyBorder="1"/>
    <xf numFmtId="14" fontId="14" fillId="0" borderId="0" xfId="0" applyNumberFormat="1" applyFont="1" applyFill="1"/>
    <xf numFmtId="14" fontId="14" fillId="0" borderId="0" xfId="0" applyNumberFormat="1" applyFont="1" applyFill="1" applyAlignment="1">
      <alignment horizontal="left"/>
    </xf>
    <xf numFmtId="0" fontId="14" fillId="0" borderId="0" xfId="0" applyFont="1" applyFill="1"/>
    <xf numFmtId="0" fontId="25" fillId="0" borderId="0" xfId="0" applyFont="1" applyFill="1"/>
    <xf numFmtId="185" fontId="25" fillId="0" borderId="0" xfId="0" applyNumberFormat="1" applyFont="1" applyFill="1"/>
    <xf numFmtId="0" fontId="26" fillId="0" borderId="0" xfId="0" applyFont="1" applyFill="1"/>
    <xf numFmtId="49" fontId="14" fillId="0" borderId="0" xfId="0" applyNumberFormat="1" applyFont="1" applyFill="1"/>
    <xf numFmtId="0" fontId="36" fillId="0" borderId="0" xfId="0" applyFont="1" applyFill="1"/>
    <xf numFmtId="0" fontId="13" fillId="0" borderId="0" xfId="7" applyFont="1" applyFill="1"/>
    <xf numFmtId="0" fontId="12" fillId="0" borderId="0" xfId="7" applyFont="1" applyFill="1" applyAlignment="1">
      <alignment horizontal="left"/>
    </xf>
    <xf numFmtId="0" fontId="12" fillId="0" borderId="1" xfId="24" applyFont="1" applyFill="1" applyAlignment="1">
      <alignment horizontal="center" wrapText="1"/>
    </xf>
    <xf numFmtId="0" fontId="12" fillId="0" borderId="1" xfId="24" applyFont="1" applyFill="1" applyAlignment="1" applyProtection="1">
      <alignment horizontal="center" wrapText="1"/>
      <protection locked="0"/>
    </xf>
    <xf numFmtId="0" fontId="55" fillId="0" borderId="0" xfId="7" applyFont="1" applyFill="1"/>
    <xf numFmtId="43" fontId="55" fillId="0" borderId="0" xfId="7" applyNumberFormat="1" applyFont="1" applyFill="1"/>
    <xf numFmtId="43" fontId="13" fillId="0" borderId="0" xfId="1" applyFont="1" applyFill="1" applyBorder="1"/>
    <xf numFmtId="164" fontId="13" fillId="0" borderId="3" xfId="1" applyNumberFormat="1" applyFont="1" applyFill="1" applyBorder="1"/>
    <xf numFmtId="2" fontId="13" fillId="0" borderId="0" xfId="0" applyNumberFormat="1" applyFont="1" applyFill="1" applyAlignment="1">
      <alignment horizontal="center"/>
    </xf>
    <xf numFmtId="40" fontId="13" fillId="0" borderId="0" xfId="0" applyNumberFormat="1" applyFont="1" applyFill="1"/>
    <xf numFmtId="40" fontId="55" fillId="0" borderId="0" xfId="7" applyNumberFormat="1" applyFont="1" applyFill="1"/>
    <xf numFmtId="188" fontId="13" fillId="0" borderId="0" xfId="7" applyNumberFormat="1" applyFont="1" applyFill="1" applyAlignment="1">
      <alignment horizontal="left"/>
    </xf>
    <xf numFmtId="4" fontId="13" fillId="0" borderId="0" xfId="7" applyNumberFormat="1" applyFont="1" applyFill="1" applyAlignment="1">
      <alignment horizontal="center"/>
    </xf>
    <xf numFmtId="4" fontId="13" fillId="0" borderId="0" xfId="7" applyNumberFormat="1" applyFont="1" applyFill="1"/>
    <xf numFmtId="164" fontId="13" fillId="0" borderId="0" xfId="7" applyNumberFormat="1" applyFont="1" applyFill="1"/>
    <xf numFmtId="164" fontId="13" fillId="0" borderId="0" xfId="7" applyNumberFormat="1" applyFont="1" applyFill="1" applyAlignment="1">
      <alignment horizontal="center"/>
    </xf>
    <xf numFmtId="0" fontId="13" fillId="0" borderId="0" xfId="0" applyFont="1" applyFill="1"/>
    <xf numFmtId="0" fontId="13" fillId="0" borderId="0" xfId="24" applyFont="1" applyFill="1" applyBorder="1" applyAlignment="1">
      <alignment horizontal="center" wrapText="1"/>
    </xf>
    <xf numFmtId="0" fontId="13" fillId="0" borderId="1" xfId="24" applyFont="1" applyFill="1" applyAlignment="1">
      <alignment horizontal="center" wrapText="1"/>
    </xf>
    <xf numFmtId="164" fontId="13" fillId="0" borderId="0" xfId="1" applyNumberFormat="1" applyFont="1" applyFill="1" applyBorder="1" applyAlignment="1" applyProtection="1">
      <alignment horizontal="center" wrapText="1"/>
    </xf>
    <xf numFmtId="10" fontId="13" fillId="0" borderId="0" xfId="0" applyNumberFormat="1" applyFont="1" applyFill="1"/>
    <xf numFmtId="166" fontId="13" fillId="0" borderId="0" xfId="0" applyNumberFormat="1" applyFont="1" applyFill="1"/>
    <xf numFmtId="0" fontId="13" fillId="0" borderId="0" xfId="0" quotePrefix="1" applyFont="1" applyFill="1" applyAlignment="1">
      <alignment horizontal="center"/>
    </xf>
    <xf numFmtId="166" fontId="13" fillId="0" borderId="4" xfId="0" applyNumberFormat="1" applyFont="1" applyFill="1" applyBorder="1"/>
    <xf numFmtId="10" fontId="13" fillId="0" borderId="4" xfId="0" applyNumberFormat="1" applyFont="1" applyFill="1" applyBorder="1"/>
    <xf numFmtId="0" fontId="15" fillId="0" borderId="0" xfId="0" applyFont="1" applyFill="1"/>
    <xf numFmtId="178" fontId="13" fillId="0" borderId="0" xfId="13" applyFont="1" applyFill="1"/>
    <xf numFmtId="178" fontId="12" fillId="0" borderId="0" xfId="13" applyFont="1" applyFill="1"/>
    <xf numFmtId="178" fontId="24" fillId="0" borderId="0" xfId="13" applyFont="1" applyFill="1"/>
    <xf numFmtId="178" fontId="24" fillId="0" borderId="0" xfId="13" quotePrefix="1" applyFont="1" applyFill="1" applyAlignment="1">
      <alignment horizontal="center"/>
    </xf>
    <xf numFmtId="14" fontId="24" fillId="0" borderId="0" xfId="13" applyNumberFormat="1" applyFont="1" applyFill="1"/>
    <xf numFmtId="178" fontId="24" fillId="0" borderId="0" xfId="13" applyFont="1" applyFill="1" applyAlignment="1">
      <alignment horizontal="center"/>
    </xf>
    <xf numFmtId="2" fontId="24" fillId="0" borderId="0" xfId="13" applyNumberFormat="1" applyFont="1" applyFill="1" applyAlignment="1">
      <alignment horizontal="center"/>
    </xf>
    <xf numFmtId="14" fontId="24" fillId="0" borderId="0" xfId="13" applyNumberFormat="1" applyFont="1" applyFill="1" applyAlignment="1">
      <alignment horizontal="center"/>
    </xf>
    <xf numFmtId="178" fontId="24" fillId="0" borderId="3" xfId="13" applyFont="1" applyFill="1" applyBorder="1" applyAlignment="1">
      <alignment horizontal="center"/>
    </xf>
    <xf numFmtId="14" fontId="24" fillId="0" borderId="3" xfId="13" applyNumberFormat="1" applyFont="1" applyFill="1" applyBorder="1" applyAlignment="1">
      <alignment horizontal="center"/>
    </xf>
    <xf numFmtId="178" fontId="37" fillId="0" borderId="0" xfId="13" applyFont="1" applyFill="1" applyAlignment="1">
      <alignment horizontal="left"/>
    </xf>
    <xf numFmtId="178" fontId="24" fillId="0" borderId="0" xfId="13" applyFont="1" applyFill="1" applyAlignment="1">
      <alignment horizontal="left"/>
    </xf>
    <xf numFmtId="187" fontId="24" fillId="0" borderId="0" xfId="13" applyNumberFormat="1" applyFont="1" applyFill="1" applyAlignment="1">
      <alignment horizontal="center"/>
    </xf>
    <xf numFmtId="37" fontId="24" fillId="0" borderId="0" xfId="13" applyNumberFormat="1" applyFont="1" applyFill="1"/>
    <xf numFmtId="175" fontId="24" fillId="0" borderId="0" xfId="13" applyNumberFormat="1" applyFont="1" applyFill="1"/>
    <xf numFmtId="179" fontId="24" fillId="0" borderId="0" xfId="13" applyNumberFormat="1" applyFont="1" applyFill="1"/>
    <xf numFmtId="180" fontId="24" fillId="0" borderId="0" xfId="13" applyNumberFormat="1" applyFont="1" applyFill="1" applyAlignment="1">
      <alignment horizontal="center"/>
    </xf>
    <xf numFmtId="197" fontId="24" fillId="0" borderId="0" xfId="13" applyNumberFormat="1" applyFont="1" applyFill="1"/>
    <xf numFmtId="171" fontId="24" fillId="0" borderId="0" xfId="13" applyNumberFormat="1" applyFont="1" applyFill="1"/>
    <xf numFmtId="37" fontId="24" fillId="0" borderId="3" xfId="13" applyNumberFormat="1" applyFont="1" applyFill="1" applyBorder="1"/>
    <xf numFmtId="197" fontId="24" fillId="0" borderId="3" xfId="13" applyNumberFormat="1" applyFont="1" applyFill="1" applyBorder="1"/>
    <xf numFmtId="171" fontId="24" fillId="0" borderId="3" xfId="13" applyNumberFormat="1" applyFont="1" applyFill="1" applyBorder="1"/>
    <xf numFmtId="179" fontId="24" fillId="0" borderId="3" xfId="13" applyNumberFormat="1" applyFont="1" applyFill="1" applyBorder="1"/>
    <xf numFmtId="180" fontId="24" fillId="0" borderId="3" xfId="13" applyNumberFormat="1" applyFont="1" applyFill="1" applyBorder="1" applyAlignment="1">
      <alignment horizontal="center"/>
    </xf>
    <xf numFmtId="187" fontId="24" fillId="0" borderId="0" xfId="13" applyNumberFormat="1" applyFont="1" applyFill="1"/>
    <xf numFmtId="10" fontId="24" fillId="0" borderId="0" xfId="13" applyNumberFormat="1" applyFont="1" applyFill="1"/>
    <xf numFmtId="177" fontId="24" fillId="0" borderId="0" xfId="13" applyNumberFormat="1" applyFont="1" applyFill="1" applyAlignment="1">
      <alignment horizontal="center"/>
    </xf>
    <xf numFmtId="0" fontId="24" fillId="0" borderId="0" xfId="0" applyFont="1" applyFill="1" applyAlignment="1">
      <alignment horizontal="left"/>
    </xf>
    <xf numFmtId="175" fontId="24" fillId="0" borderId="3" xfId="13" applyNumberFormat="1" applyFont="1" applyFill="1" applyBorder="1"/>
    <xf numFmtId="177" fontId="24" fillId="0" borderId="3" xfId="13" applyNumberFormat="1" applyFont="1" applyFill="1" applyBorder="1"/>
    <xf numFmtId="190" fontId="24" fillId="0" borderId="0" xfId="13" applyNumberFormat="1" applyFont="1" applyFill="1"/>
    <xf numFmtId="180" fontId="24" fillId="0" borderId="0" xfId="13" applyNumberFormat="1" applyFont="1" applyFill="1"/>
    <xf numFmtId="5" fontId="24" fillId="0" borderId="8" xfId="13" applyNumberFormat="1" applyFont="1" applyFill="1" applyBorder="1"/>
    <xf numFmtId="176" fontId="24" fillId="0" borderId="0" xfId="13" applyNumberFormat="1" applyFont="1" applyFill="1"/>
    <xf numFmtId="176" fontId="24" fillId="0" borderId="8" xfId="13" applyNumberFormat="1" applyFont="1" applyFill="1" applyBorder="1"/>
    <xf numFmtId="177" fontId="24" fillId="0" borderId="8" xfId="13" applyNumberFormat="1" applyFont="1" applyFill="1" applyBorder="1" applyAlignment="1">
      <alignment horizontal="right"/>
    </xf>
    <xf numFmtId="5" fontId="24" fillId="0" borderId="0" xfId="13" applyNumberFormat="1" applyFont="1" applyFill="1"/>
    <xf numFmtId="177" fontId="24" fillId="0" borderId="0" xfId="13" applyNumberFormat="1" applyFont="1" applyFill="1"/>
    <xf numFmtId="14" fontId="13" fillId="0" borderId="0" xfId="13" applyNumberFormat="1" applyFont="1" applyFill="1"/>
    <xf numFmtId="178" fontId="13" fillId="0" borderId="0" xfId="13" applyFont="1" applyFill="1" applyAlignment="1">
      <alignment horizontal="left"/>
    </xf>
    <xf numFmtId="14" fontId="13" fillId="0" borderId="0" xfId="13" applyNumberFormat="1" applyFont="1" applyFill="1" applyAlignment="1">
      <alignment horizontal="center"/>
    </xf>
    <xf numFmtId="37" fontId="13" fillId="0" borderId="0" xfId="13" applyNumberFormat="1" applyFont="1" applyFill="1"/>
    <xf numFmtId="175" fontId="13" fillId="0" borderId="0" xfId="13" applyNumberFormat="1" applyFont="1" applyFill="1"/>
    <xf numFmtId="171" fontId="13" fillId="0" borderId="0" xfId="13" applyNumberFormat="1" applyFont="1" applyFill="1" applyAlignment="1">
      <alignment horizontal="center"/>
    </xf>
    <xf numFmtId="171" fontId="13" fillId="0" borderId="0" xfId="13" applyNumberFormat="1" applyFont="1" applyFill="1"/>
    <xf numFmtId="179" fontId="13" fillId="0" borderId="0" xfId="13" applyNumberFormat="1" applyFont="1" applyFill="1"/>
    <xf numFmtId="177" fontId="13" fillId="0" borderId="0" xfId="13" applyNumberFormat="1" applyFont="1" applyFill="1"/>
    <xf numFmtId="0" fontId="13" fillId="0" borderId="0" xfId="0" applyFont="1" applyFill="1" applyAlignment="1">
      <alignment horizontal="right"/>
    </xf>
    <xf numFmtId="0" fontId="13" fillId="0" borderId="11" xfId="0" applyFont="1" applyFill="1" applyBorder="1" applyAlignment="1">
      <alignment horizontal="right"/>
    </xf>
    <xf numFmtId="0" fontId="13" fillId="0" borderId="12" xfId="0" applyFont="1" applyFill="1" applyBorder="1" applyAlignment="1">
      <alignment horizontal="center"/>
    </xf>
    <xf numFmtId="0" fontId="15" fillId="0" borderId="12" xfId="0" applyFont="1" applyFill="1" applyBorder="1" applyAlignment="1">
      <alignment horizontal="center"/>
    </xf>
    <xf numFmtId="1" fontId="13" fillId="0" borderId="0" xfId="0" applyNumberFormat="1" applyFont="1" applyFill="1" applyAlignment="1">
      <alignment horizontal="center"/>
    </xf>
    <xf numFmtId="0" fontId="0" fillId="0" borderId="0" xfId="0" applyFill="1"/>
    <xf numFmtId="1" fontId="13" fillId="0" borderId="12" xfId="0" applyNumberFormat="1" applyFont="1" applyFill="1" applyBorder="1" applyAlignment="1">
      <alignment horizontal="center"/>
    </xf>
    <xf numFmtId="0" fontId="13" fillId="0" borderId="14" xfId="0" applyFont="1" applyFill="1" applyBorder="1" applyAlignment="1">
      <alignment horizontal="right"/>
    </xf>
    <xf numFmtId="0" fontId="13" fillId="0" borderId="3" xfId="0" applyFont="1" applyFill="1" applyBorder="1" applyAlignment="1">
      <alignment horizontal="center"/>
    </xf>
    <xf numFmtId="0" fontId="13" fillId="0" borderId="11" xfId="0" applyFont="1" applyFill="1" applyBorder="1"/>
    <xf numFmtId="0" fontId="13" fillId="0" borderId="12" xfId="0" applyFont="1" applyFill="1" applyBorder="1"/>
    <xf numFmtId="49" fontId="13" fillId="0" borderId="0" xfId="0" applyNumberFormat="1" applyFont="1" applyFill="1" applyAlignment="1">
      <alignment horizontal="center"/>
    </xf>
    <xf numFmtId="0" fontId="13" fillId="0" borderId="0" xfId="0" applyFont="1" applyFill="1" applyAlignment="1">
      <alignment wrapText="1"/>
    </xf>
    <xf numFmtId="0" fontId="13" fillId="0" borderId="0" xfId="0" applyFont="1" applyFill="1" applyAlignment="1">
      <alignment horizontal="left"/>
    </xf>
    <xf numFmtId="0" fontId="12" fillId="0" borderId="0" xfId="0" applyFont="1" applyFill="1"/>
    <xf numFmtId="0" fontId="16" fillId="0" borderId="0" xfId="0" applyFont="1" applyFill="1" applyAlignment="1">
      <alignment horizontal="center"/>
    </xf>
    <xf numFmtId="174" fontId="13" fillId="0" borderId="0" xfId="0" applyNumberFormat="1" applyFont="1" applyFill="1"/>
    <xf numFmtId="3" fontId="13" fillId="0" borderId="0" xfId="0" applyNumberFormat="1" applyFont="1" applyFill="1"/>
    <xf numFmtId="3" fontId="13" fillId="0" borderId="3" xfId="0" applyNumberFormat="1" applyFont="1" applyFill="1" applyBorder="1"/>
    <xf numFmtId="3" fontId="15" fillId="0" borderId="0" xfId="0" applyNumberFormat="1" applyFont="1" applyFill="1"/>
    <xf numFmtId="174" fontId="15" fillId="0" borderId="0" xfId="0" applyNumberFormat="1" applyFont="1" applyFill="1"/>
    <xf numFmtId="0" fontId="13" fillId="0" borderId="0" xfId="56" applyFont="1" applyFill="1"/>
    <xf numFmtId="3" fontId="13" fillId="0" borderId="0" xfId="5" applyNumberFormat="1" applyFont="1" applyFill="1" applyProtection="1"/>
    <xf numFmtId="196" fontId="0" fillId="0" borderId="0" xfId="0" applyNumberFormat="1" applyFill="1"/>
    <xf numFmtId="188" fontId="13" fillId="0" borderId="0" xfId="0" applyNumberFormat="1" applyFont="1" applyFill="1" applyAlignment="1">
      <alignment horizontal="left"/>
    </xf>
    <xf numFmtId="1" fontId="12" fillId="0" borderId="4" xfId="0" applyNumberFormat="1" applyFont="1" applyFill="1" applyBorder="1" applyAlignment="1">
      <alignment horizontal="left" vertical="center"/>
    </xf>
    <xf numFmtId="0" fontId="16" fillId="0" borderId="7" xfId="0" applyFont="1" applyFill="1" applyBorder="1" applyAlignment="1">
      <alignment horizontal="left"/>
    </xf>
    <xf numFmtId="0" fontId="12" fillId="0" borderId="7" xfId="0" applyFont="1" applyFill="1" applyBorder="1" applyAlignment="1">
      <alignment horizontal="center"/>
    </xf>
    <xf numFmtId="0" fontId="12" fillId="0" borderId="6" xfId="0" applyFont="1" applyFill="1" applyBorder="1" applyAlignment="1">
      <alignment horizontal="center"/>
    </xf>
    <xf numFmtId="0" fontId="13" fillId="0" borderId="0" xfId="0" applyFont="1" applyFill="1" applyAlignment="1">
      <alignment horizontal="center" vertical="top"/>
    </xf>
    <xf numFmtId="0" fontId="13" fillId="0" borderId="12" xfId="0" applyFont="1" applyFill="1" applyBorder="1" applyAlignment="1">
      <alignment horizontal="center" vertical="justify"/>
    </xf>
    <xf numFmtId="0" fontId="13" fillId="0" borderId="4" xfId="0" applyFont="1" applyFill="1" applyBorder="1" applyAlignment="1">
      <alignment vertical="justify"/>
    </xf>
    <xf numFmtId="6" fontId="13" fillId="0" borderId="4" xfId="0" applyNumberFormat="1" applyFont="1" applyFill="1" applyBorder="1" applyAlignment="1">
      <alignment vertical="justify"/>
    </xf>
    <xf numFmtId="5" fontId="13" fillId="0" borderId="4" xfId="0" applyNumberFormat="1" applyFont="1" applyFill="1" applyBorder="1"/>
    <xf numFmtId="5" fontId="13" fillId="0" borderId="4" xfId="0" applyNumberFormat="1" applyFont="1" applyFill="1" applyBorder="1" applyAlignment="1">
      <alignment wrapText="1"/>
    </xf>
    <xf numFmtId="0" fontId="13" fillId="0" borderId="0" xfId="0" applyFont="1" applyFill="1" applyAlignment="1">
      <alignment horizontal="center" vertical="justify"/>
    </xf>
    <xf numFmtId="38" fontId="13" fillId="0" borderId="4" xfId="0" applyNumberFormat="1" applyFont="1" applyFill="1" applyBorder="1" applyAlignment="1">
      <alignment vertical="justify"/>
    </xf>
    <xf numFmtId="0" fontId="12" fillId="0" borderId="15" xfId="0" applyFont="1" applyFill="1" applyBorder="1" applyAlignment="1">
      <alignment horizontal="left"/>
    </xf>
    <xf numFmtId="0" fontId="13" fillId="0" borderId="6" xfId="0" applyFont="1" applyFill="1" applyBorder="1"/>
    <xf numFmtId="5" fontId="13" fillId="0" borderId="0" xfId="0" applyNumberFormat="1" applyFont="1" applyFill="1"/>
    <xf numFmtId="1" fontId="13" fillId="0" borderId="0" xfId="0" applyNumberFormat="1" applyFont="1" applyFill="1" applyAlignment="1">
      <alignment horizontal="center" vertical="center" wrapText="1"/>
    </xf>
    <xf numFmtId="37" fontId="109" fillId="0" borderId="0" xfId="28138" applyNumberFormat="1" applyFont="1" applyFill="1"/>
    <xf numFmtId="37" fontId="109" fillId="0" borderId="3" xfId="28138" applyNumberFormat="1" applyFont="1" applyFill="1" applyBorder="1"/>
    <xf numFmtId="0" fontId="13" fillId="0" borderId="0" xfId="0" applyFont="1" applyFill="1" applyAlignment="1">
      <alignment horizontal="center" wrapText="1"/>
    </xf>
    <xf numFmtId="44" fontId="13" fillId="0" borderId="0" xfId="0" applyNumberFormat="1" applyFont="1" applyFill="1"/>
    <xf numFmtId="0" fontId="16" fillId="0" borderId="0" xfId="0" applyFont="1" applyFill="1"/>
    <xf numFmtId="183" fontId="12" fillId="0" borderId="3" xfId="0" applyNumberFormat="1" applyFont="1" applyFill="1" applyBorder="1" applyAlignment="1">
      <alignment horizontal="center" wrapText="1"/>
    </xf>
    <xf numFmtId="183" fontId="15" fillId="0" borderId="0" xfId="0" applyNumberFormat="1" applyFont="1" applyFill="1"/>
    <xf numFmtId="174" fontId="34" fillId="0" borderId="0" xfId="28689" applyNumberFormat="1" applyFont="1" applyFill="1" applyAlignment="1">
      <alignment horizontal="right"/>
    </xf>
    <xf numFmtId="174" fontId="23" fillId="0" borderId="0" xfId="28689" applyNumberFormat="1" applyFont="1" applyFill="1" applyAlignment="1">
      <alignment horizontal="right"/>
    </xf>
    <xf numFmtId="174" fontId="13" fillId="0" borderId="0" xfId="28689" applyNumberFormat="1" applyFont="1" applyFill="1" applyAlignment="1">
      <alignment horizontal="right"/>
    </xf>
    <xf numFmtId="6" fontId="13" fillId="0" borderId="0" xfId="0" applyNumberFormat="1" applyFont="1" applyFill="1"/>
    <xf numFmtId="0" fontId="12" fillId="0" borderId="0" xfId="0" applyFont="1" applyFill="1" applyAlignment="1">
      <alignment horizontal="right"/>
    </xf>
    <xf numFmtId="174" fontId="12" fillId="0" borderId="0" xfId="0" applyNumberFormat="1" applyFont="1" applyFill="1"/>
    <xf numFmtId="183" fontId="12" fillId="0" borderId="0" xfId="0" applyNumberFormat="1" applyFont="1" applyFill="1"/>
    <xf numFmtId="174" fontId="12" fillId="0" borderId="4" xfId="0" applyNumberFormat="1" applyFont="1" applyFill="1" applyBorder="1"/>
    <xf numFmtId="183" fontId="12" fillId="0" borderId="0" xfId="0" quotePrefix="1" applyNumberFormat="1" applyFont="1" applyFill="1"/>
    <xf numFmtId="183" fontId="12" fillId="0" borderId="0" xfId="0" applyNumberFormat="1" applyFont="1" applyFill="1" applyAlignment="1">
      <alignment horizontal="right"/>
    </xf>
    <xf numFmtId="183" fontId="13" fillId="0" borderId="0" xfId="30" applyNumberFormat="1" applyFill="1"/>
    <xf numFmtId="183" fontId="32" fillId="0" borderId="0" xfId="30" applyNumberFormat="1" applyFont="1" applyFill="1" applyAlignment="1">
      <alignment horizontal="right"/>
    </xf>
    <xf numFmtId="174" fontId="13" fillId="0" borderId="0" xfId="30" applyNumberFormat="1" applyFill="1"/>
    <xf numFmtId="183" fontId="13" fillId="0" borderId="0" xfId="0" applyNumberFormat="1" applyFont="1" applyFill="1"/>
    <xf numFmtId="0" fontId="13" fillId="0" borderId="0" xfId="30" applyFill="1"/>
    <xf numFmtId="183" fontId="13" fillId="0" borderId="0" xfId="30" applyNumberFormat="1" applyFill="1" applyAlignment="1">
      <alignment horizontal="right"/>
    </xf>
    <xf numFmtId="174" fontId="13" fillId="0" borderId="0" xfId="30" applyNumberFormat="1" applyFill="1" applyAlignment="1">
      <alignment horizontal="right"/>
    </xf>
    <xf numFmtId="174" fontId="12" fillId="0" borderId="19" xfId="30" applyNumberFormat="1" applyFont="1" applyFill="1" applyBorder="1"/>
    <xf numFmtId="183" fontId="13" fillId="0" borderId="0" xfId="0" applyNumberFormat="1" applyFont="1" applyFill="1" applyAlignment="1">
      <alignment horizontal="right"/>
    </xf>
    <xf numFmtId="174" fontId="13" fillId="0" borderId="3" xfId="0" applyNumberFormat="1" applyFont="1" applyFill="1" applyBorder="1"/>
    <xf numFmtId="174" fontId="13" fillId="0" borderId="19" xfId="0" applyNumberFormat="1" applyFont="1" applyFill="1" applyBorder="1"/>
    <xf numFmtId="183" fontId="109" fillId="0" borderId="0" xfId="0" applyNumberFormat="1" applyFont="1" applyFill="1" applyAlignment="1">
      <alignment horizontal="right"/>
    </xf>
    <xf numFmtId="43" fontId="13" fillId="0" borderId="0" xfId="0" applyNumberFormat="1" applyFont="1" applyFill="1" applyAlignment="1">
      <alignment horizontal="center"/>
    </xf>
    <xf numFmtId="43" fontId="13" fillId="0" borderId="0" xfId="0" applyNumberFormat="1" applyFont="1" applyFill="1"/>
    <xf numFmtId="49" fontId="12" fillId="0" borderId="2" xfId="0" applyNumberFormat="1" applyFont="1" applyFill="1" applyBorder="1" applyAlignment="1">
      <alignment horizontal="center"/>
    </xf>
    <xf numFmtId="0" fontId="12" fillId="0" borderId="2" xfId="0" applyFont="1" applyFill="1" applyBorder="1" applyAlignment="1">
      <alignment horizontal="center" wrapText="1"/>
    </xf>
    <xf numFmtId="43" fontId="12" fillId="0" borderId="2" xfId="0" applyNumberFormat="1" applyFont="1" applyFill="1" applyBorder="1" applyAlignment="1">
      <alignment horizontal="center"/>
    </xf>
    <xf numFmtId="49" fontId="12" fillId="0" borderId="0" xfId="0" applyNumberFormat="1" applyFont="1" applyFill="1" applyAlignment="1">
      <alignment horizontal="center"/>
    </xf>
    <xf numFmtId="0" fontId="0" fillId="0" borderId="0" xfId="0" applyFill="1" applyAlignment="1">
      <alignment horizontal="center"/>
    </xf>
    <xf numFmtId="14" fontId="0" fillId="0" borderId="0" xfId="0" applyNumberFormat="1" applyFill="1" applyAlignment="1">
      <alignment horizontal="left"/>
    </xf>
    <xf numFmtId="49" fontId="0" fillId="0" borderId="0" xfId="0" applyNumberFormat="1" applyFill="1" applyAlignment="1">
      <alignment horizontal="left"/>
    </xf>
    <xf numFmtId="49" fontId="0" fillId="0" borderId="0" xfId="0" quotePrefix="1" applyNumberFormat="1" applyFill="1" applyAlignment="1">
      <alignment horizontal="left"/>
    </xf>
    <xf numFmtId="0" fontId="0" fillId="0" borderId="0" xfId="0" applyFill="1" applyAlignment="1">
      <alignment horizontal="left"/>
    </xf>
    <xf numFmtId="14" fontId="13" fillId="0" borderId="0" xfId="0" applyNumberFormat="1" applyFont="1" applyFill="1" applyAlignment="1">
      <alignment horizontal="center"/>
    </xf>
    <xf numFmtId="49" fontId="13" fillId="0" borderId="0" xfId="0" applyNumberFormat="1" applyFont="1" applyFill="1"/>
    <xf numFmtId="39" fontId="13" fillId="0" borderId="0" xfId="0" applyNumberFormat="1" applyFont="1" applyFill="1"/>
    <xf numFmtId="0" fontId="15" fillId="0" borderId="0" xfId="0" applyFont="1" applyFill="1" applyAlignment="1">
      <alignment horizontal="right"/>
    </xf>
    <xf numFmtId="0" fontId="13" fillId="0" borderId="9" xfId="0" applyFont="1" applyFill="1" applyBorder="1"/>
    <xf numFmtId="43" fontId="13" fillId="0" borderId="5" xfId="0" applyNumberFormat="1" applyFont="1" applyFill="1" applyBorder="1"/>
    <xf numFmtId="0" fontId="13" fillId="0" borderId="10" xfId="0" applyFont="1" applyFill="1" applyBorder="1"/>
    <xf numFmtId="0" fontId="13" fillId="0" borderId="14" xfId="0" applyFont="1" applyFill="1" applyBorder="1"/>
    <xf numFmtId="43" fontId="13" fillId="0" borderId="3" xfId="0" applyNumberFormat="1" applyFont="1" applyFill="1" applyBorder="1"/>
    <xf numFmtId="0" fontId="13" fillId="0" borderId="13" xfId="0" applyFont="1" applyFill="1" applyBorder="1"/>
    <xf numFmtId="0" fontId="16" fillId="0" borderId="15" xfId="0" applyFont="1" applyFill="1" applyBorder="1" applyAlignment="1">
      <alignment horizontal="left"/>
    </xf>
    <xf numFmtId="0" fontId="13" fillId="0" borderId="16" xfId="0" applyFont="1" applyFill="1" applyBorder="1" applyAlignment="1">
      <alignment horizontal="center" vertical="justify"/>
    </xf>
    <xf numFmtId="164" fontId="13" fillId="0" borderId="4" xfId="0" applyNumberFormat="1" applyFont="1" applyFill="1" applyBorder="1" applyAlignment="1">
      <alignment vertical="justify"/>
    </xf>
    <xf numFmtId="5" fontId="13" fillId="0" borderId="6" xfId="0" applyNumberFormat="1" applyFont="1" applyFill="1" applyBorder="1" applyAlignment="1">
      <alignment vertical="justify"/>
    </xf>
    <xf numFmtId="0" fontId="13" fillId="0" borderId="17" xfId="0" applyFont="1" applyFill="1" applyBorder="1" applyAlignment="1">
      <alignment horizontal="center" vertical="justify"/>
    </xf>
    <xf numFmtId="164" fontId="13" fillId="0" borderId="0" xfId="0" applyNumberFormat="1" applyFont="1" applyFill="1"/>
    <xf numFmtId="0" fontId="13" fillId="0" borderId="18" xfId="0" applyFont="1" applyFill="1" applyBorder="1" applyAlignment="1">
      <alignment horizontal="center" vertical="justify"/>
    </xf>
    <xf numFmtId="0" fontId="13" fillId="0" borderId="0" xfId="0" applyFont="1" applyFill="1" applyAlignment="1">
      <alignment vertical="justify"/>
    </xf>
    <xf numFmtId="5" fontId="13" fillId="0" borderId="7" xfId="0" applyNumberFormat="1" applyFont="1" applyFill="1" applyBorder="1" applyAlignment="1">
      <alignment vertical="justify"/>
    </xf>
    <xf numFmtId="5" fontId="13" fillId="0" borderId="7" xfId="0" applyNumberFormat="1" applyFont="1" applyFill="1" applyBorder="1"/>
    <xf numFmtId="5" fontId="13" fillId="0" borderId="7" xfId="0" applyNumberFormat="1" applyFont="1" applyFill="1" applyBorder="1" applyAlignment="1">
      <alignment wrapText="1"/>
    </xf>
    <xf numFmtId="1" fontId="16" fillId="0" borderId="15" xfId="0" applyNumberFormat="1" applyFont="1" applyFill="1" applyBorder="1" applyAlignment="1">
      <alignment horizontal="left" vertical="center"/>
    </xf>
    <xf numFmtId="1" fontId="16" fillId="0" borderId="7" xfId="0" applyNumberFormat="1" applyFont="1" applyFill="1" applyBorder="1" applyAlignment="1">
      <alignment horizontal="left" vertical="center" wrapText="1"/>
    </xf>
    <xf numFmtId="5" fontId="13" fillId="0" borderId="6" xfId="0" applyNumberFormat="1" applyFont="1" applyFill="1" applyBorder="1" applyAlignment="1">
      <alignment wrapText="1"/>
    </xf>
    <xf numFmtId="5" fontId="13" fillId="0" borderId="4" xfId="0" applyNumberFormat="1" applyFont="1" applyFill="1" applyBorder="1" applyAlignment="1">
      <alignment vertical="justify"/>
    </xf>
    <xf numFmtId="5" fontId="13" fillId="0" borderId="4" xfId="0" applyNumberFormat="1" applyFont="1" applyFill="1" applyBorder="1" applyAlignment="1">
      <alignment vertical="justify" wrapText="1"/>
    </xf>
    <xf numFmtId="0" fontId="13" fillId="0" borderId="15" xfId="0" applyFont="1" applyFill="1" applyBorder="1" applyAlignment="1">
      <alignment vertical="justify"/>
    </xf>
    <xf numFmtId="5" fontId="13" fillId="0" borderId="5" xfId="0" applyNumberFormat="1" applyFont="1" applyFill="1" applyBorder="1" applyAlignment="1">
      <alignment vertical="justify"/>
    </xf>
    <xf numFmtId="5" fontId="13" fillId="0" borderId="7" xfId="0" applyNumberFormat="1" applyFont="1" applyFill="1" applyBorder="1" applyAlignment="1">
      <alignment vertical="justify" wrapText="1"/>
    </xf>
    <xf numFmtId="1" fontId="16" fillId="0" borderId="15" xfId="0" applyNumberFormat="1" applyFont="1" applyFill="1" applyBorder="1" applyAlignment="1">
      <alignment horizontal="left"/>
    </xf>
    <xf numFmtId="1" fontId="16" fillId="0" borderId="7" xfId="0" applyNumberFormat="1" applyFont="1" applyFill="1" applyBorder="1" applyAlignment="1">
      <alignment horizontal="left"/>
    </xf>
    <xf numFmtId="5" fontId="13" fillId="0" borderId="6" xfId="0" applyNumberFormat="1" applyFont="1" applyFill="1" applyBorder="1" applyAlignment="1">
      <alignment vertical="justify" wrapText="1"/>
    </xf>
    <xf numFmtId="0" fontId="13" fillId="0" borderId="18" xfId="0" applyFont="1" applyFill="1" applyBorder="1" applyAlignment="1">
      <alignment vertical="justify"/>
    </xf>
    <xf numFmtId="164" fontId="13" fillId="0" borderId="18" xfId="0" applyNumberFormat="1" applyFont="1" applyFill="1" applyBorder="1" applyAlignment="1">
      <alignment vertical="justify"/>
    </xf>
    <xf numFmtId="5" fontId="13" fillId="0" borderId="4" xfId="0" applyNumberFormat="1" applyFont="1" applyFill="1" applyBorder="1" applyAlignment="1">
      <alignment vertical="top" wrapText="1"/>
    </xf>
    <xf numFmtId="0" fontId="13" fillId="0" borderId="7" xfId="0" applyFont="1" applyFill="1" applyBorder="1"/>
    <xf numFmtId="0" fontId="12" fillId="0" borderId="15" xfId="0" applyFont="1" applyFill="1" applyBorder="1"/>
    <xf numFmtId="5" fontId="13" fillId="0" borderId="0" xfId="0" applyNumberFormat="1" applyFont="1" applyFill="1" applyAlignment="1">
      <alignment horizontal="center"/>
    </xf>
    <xf numFmtId="5" fontId="13" fillId="0" borderId="0" xfId="0" applyNumberFormat="1" applyFont="1" applyFill="1" applyAlignment="1">
      <alignment horizontal="left"/>
    </xf>
    <xf numFmtId="0" fontId="15" fillId="0" borderId="0" xfId="0" applyFont="1" applyFill="1" applyAlignment="1">
      <alignment horizontal="left"/>
    </xf>
    <xf numFmtId="0" fontId="13" fillId="0" borderId="0" xfId="0" quotePrefix="1" applyFont="1" applyFill="1" applyAlignment="1">
      <alignment horizontal="left"/>
    </xf>
    <xf numFmtId="0" fontId="13" fillId="0" borderId="0" xfId="0" applyFont="1" applyFill="1" applyAlignment="1">
      <alignment vertical="top" wrapText="1"/>
    </xf>
    <xf numFmtId="5" fontId="13" fillId="0" borderId="0" xfId="0" quotePrefix="1" applyNumberFormat="1" applyFont="1" applyFill="1" applyAlignment="1">
      <alignment horizontal="left"/>
    </xf>
    <xf numFmtId="0" fontId="13" fillId="0" borderId="0" xfId="0" applyFont="1" applyFill="1" applyAlignment="1">
      <alignment vertical="top"/>
    </xf>
    <xf numFmtId="0" fontId="2" fillId="0" borderId="0" xfId="28699" applyFill="1"/>
    <xf numFmtId="0" fontId="16" fillId="0" borderId="0" xfId="24802" applyFont="1" applyFill="1" applyAlignment="1">
      <alignment horizontal="center"/>
    </xf>
    <xf numFmtId="0" fontId="109" fillId="0" borderId="0" xfId="28699" applyFont="1" applyFill="1"/>
    <xf numFmtId="0" fontId="13" fillId="0" borderId="0" xfId="24802" applyFont="1" applyFill="1"/>
    <xf numFmtId="0" fontId="13" fillId="0" borderId="0" xfId="24457" applyFont="1" applyFill="1" applyAlignment="1">
      <alignment horizontal="right"/>
    </xf>
    <xf numFmtId="164" fontId="13" fillId="0" borderId="0" xfId="5" applyNumberFormat="1" applyFont="1" applyFill="1"/>
    <xf numFmtId="0" fontId="54" fillId="0" borderId="0" xfId="28699" applyFont="1" applyFill="1"/>
    <xf numFmtId="1" fontId="12" fillId="0" borderId="1" xfId="24" applyNumberFormat="1" applyFont="1" applyFill="1" applyAlignment="1">
      <alignment horizontal="center" wrapText="1"/>
    </xf>
    <xf numFmtId="1" fontId="12" fillId="0" borderId="0" xfId="24" applyNumberFormat="1" applyFont="1" applyFill="1" applyBorder="1" applyAlignment="1">
      <alignment horizontal="center" wrapText="1"/>
    </xf>
    <xf numFmtId="41" fontId="12" fillId="0" borderId="1" xfId="24" applyNumberFormat="1" applyFont="1" applyFill="1" applyAlignment="1">
      <alignment horizontal="center" wrapText="1"/>
    </xf>
    <xf numFmtId="41" fontId="12" fillId="0" borderId="1" xfId="0" applyNumberFormat="1" applyFont="1" applyFill="1" applyBorder="1" applyAlignment="1">
      <alignment horizontal="center" wrapText="1"/>
    </xf>
    <xf numFmtId="41" fontId="12" fillId="0" borderId="1" xfId="14" applyNumberFormat="1" applyFont="1" applyFill="1" applyBorder="1" applyAlignment="1">
      <alignment horizontal="center" wrapText="1"/>
    </xf>
    <xf numFmtId="0" fontId="12" fillId="0" borderId="0" xfId="24" applyFont="1" applyFill="1" applyBorder="1" applyAlignment="1">
      <alignment horizontal="center" wrapText="1"/>
    </xf>
    <xf numFmtId="41" fontId="12" fillId="0" borderId="0" xfId="24" applyNumberFormat="1" applyFont="1" applyFill="1" applyBorder="1" applyAlignment="1">
      <alignment horizontal="center" wrapText="1"/>
    </xf>
    <xf numFmtId="41" fontId="12" fillId="0" borderId="0" xfId="0" applyNumberFormat="1" applyFont="1" applyFill="1" applyAlignment="1">
      <alignment horizontal="center" wrapText="1"/>
    </xf>
    <xf numFmtId="41" fontId="12" fillId="0" borderId="0" xfId="14" applyNumberFormat="1" applyFont="1" applyFill="1" applyAlignment="1">
      <alignment horizontal="center" wrapText="1"/>
    </xf>
    <xf numFmtId="0" fontId="13" fillId="0" borderId="0" xfId="0" quotePrefix="1" applyFont="1" applyFill="1" applyAlignment="1">
      <alignment horizontal="left" vertical="center"/>
    </xf>
    <xf numFmtId="39" fontId="12" fillId="0" borderId="0" xfId="0" applyNumberFormat="1"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vertical="center"/>
    </xf>
    <xf numFmtId="0" fontId="12" fillId="0" borderId="0" xfId="0" applyFont="1" applyFill="1" applyProtection="1">
      <protection locked="0"/>
    </xf>
    <xf numFmtId="0" fontId="13" fillId="0" borderId="0" xfId="0" applyFont="1" applyFill="1" applyProtection="1">
      <protection locked="0"/>
    </xf>
    <xf numFmtId="0" fontId="13" fillId="0" borderId="0" xfId="0" applyFont="1" applyFill="1" applyAlignment="1" applyProtection="1">
      <alignment horizontal="right"/>
      <protection locked="0"/>
    </xf>
    <xf numFmtId="184" fontId="13" fillId="0" borderId="0" xfId="0" applyNumberFormat="1" applyFont="1" applyFill="1" applyAlignment="1">
      <alignment horizontal="center"/>
    </xf>
    <xf numFmtId="166" fontId="13" fillId="0" borderId="3" xfId="5" applyNumberFormat="1" applyFont="1" applyFill="1" applyBorder="1" applyAlignment="1" applyProtection="1">
      <alignment horizontal="right"/>
    </xf>
    <xf numFmtId="188" fontId="13" fillId="0" borderId="0" xfId="0" applyNumberFormat="1" applyFont="1" applyFill="1"/>
    <xf numFmtId="0" fontId="13" fillId="0" borderId="0" xfId="20544" applyFill="1"/>
    <xf numFmtId="14" fontId="13" fillId="0" borderId="0" xfId="20544" applyNumberFormat="1" applyFill="1" applyAlignment="1">
      <alignment horizontal="center"/>
    </xf>
    <xf numFmtId="0" fontId="13" fillId="0" borderId="3" xfId="20544" applyFill="1" applyBorder="1" applyAlignment="1">
      <alignment horizontal="center" wrapText="1"/>
    </xf>
    <xf numFmtId="0" fontId="12" fillId="0" borderId="0" xfId="20544" applyFont="1" applyFill="1"/>
    <xf numFmtId="0" fontId="13" fillId="0" borderId="0" xfId="20544" applyFill="1" applyAlignment="1">
      <alignment horizontal="right"/>
    </xf>
    <xf numFmtId="0" fontId="12" fillId="0" borderId="0" xfId="20544" applyFont="1" applyFill="1" applyAlignment="1">
      <alignment horizontal="right"/>
    </xf>
    <xf numFmtId="166" fontId="13" fillId="0" borderId="0" xfId="5" applyNumberFormat="1" applyFill="1"/>
    <xf numFmtId="166" fontId="13" fillId="0" borderId="3" xfId="5" applyNumberFormat="1" applyFill="1" applyBorder="1"/>
    <xf numFmtId="188" fontId="13" fillId="0" borderId="0" xfId="20544" applyNumberFormat="1" applyFill="1" applyAlignment="1">
      <alignment horizontal="left"/>
    </xf>
    <xf numFmtId="0" fontId="13" fillId="0" borderId="0" xfId="20544" applyFill="1" applyAlignment="1">
      <alignment horizontal="center" wrapText="1"/>
    </xf>
    <xf numFmtId="14" fontId="13" fillId="0" borderId="0" xfId="20544" applyNumberFormat="1" applyFill="1"/>
    <xf numFmtId="14" fontId="13" fillId="0" borderId="0" xfId="20544" applyNumberFormat="1" applyFill="1" applyAlignment="1">
      <alignment horizontal="left"/>
    </xf>
    <xf numFmtId="0" fontId="13" fillId="0" borderId="0" xfId="20544" quotePrefix="1" applyFill="1" applyAlignment="1">
      <alignment horizontal="right"/>
    </xf>
    <xf numFmtId="164" fontId="13" fillId="0" borderId="0" xfId="20544" applyNumberFormat="1" applyFill="1"/>
    <xf numFmtId="41" fontId="13" fillId="0" borderId="0" xfId="1" applyNumberFormat="1" applyFont="1" applyFill="1" applyAlignment="1" applyProtection="1">
      <alignment horizontal="right"/>
    </xf>
    <xf numFmtId="37" fontId="13" fillId="0" borderId="0" xfId="0" applyNumberFormat="1" applyFont="1" applyFill="1" applyAlignment="1">
      <alignment horizontal="left"/>
    </xf>
    <xf numFmtId="0" fontId="13" fillId="0" borderId="0" xfId="0" quotePrefix="1" applyFont="1" applyFill="1" applyAlignment="1">
      <alignment horizontal="right"/>
    </xf>
    <xf numFmtId="0" fontId="13" fillId="0" borderId="0" xfId="0" quotePrefix="1" applyFont="1" applyFill="1"/>
    <xf numFmtId="164" fontId="13" fillId="0" borderId="3" xfId="1" applyNumberFormat="1" applyFont="1" applyFill="1" applyBorder="1" applyAlignment="1" applyProtection="1"/>
    <xf numFmtId="164" fontId="13" fillId="0" borderId="0" xfId="0" applyNumberFormat="1" applyFont="1" applyFill="1" applyAlignment="1">
      <alignment horizontal="right"/>
    </xf>
    <xf numFmtId="41" fontId="13" fillId="0" borderId="0" xfId="0" applyNumberFormat="1" applyFont="1" applyFill="1"/>
    <xf numFmtId="182" fontId="13" fillId="0" borderId="0" xfId="0" applyNumberFormat="1" applyFont="1" applyFill="1"/>
    <xf numFmtId="182" fontId="12" fillId="0" borderId="0" xfId="0" applyNumberFormat="1" applyFont="1" applyFill="1" applyAlignment="1">
      <alignment horizontal="right"/>
    </xf>
    <xf numFmtId="0" fontId="12" fillId="0" borderId="0" xfId="0" applyFont="1" applyFill="1" applyAlignment="1">
      <alignment horizontal="left" vertical="top"/>
    </xf>
    <xf numFmtId="0" fontId="13" fillId="0" borderId="0" xfId="0" applyFont="1" applyFill="1" applyAlignment="1">
      <alignment vertical="center" wrapText="1"/>
    </xf>
    <xf numFmtId="0" fontId="140" fillId="0" borderId="0" xfId="0" applyFont="1" applyFill="1" applyAlignment="1">
      <alignment vertical="top" wrapText="1"/>
    </xf>
    <xf numFmtId="0" fontId="13" fillId="0" borderId="0" xfId="0" applyFont="1" applyFill="1" applyAlignment="1">
      <alignment horizontal="right" vertical="center"/>
    </xf>
    <xf numFmtId="0" fontId="13" fillId="0" borderId="0" xfId="0" applyFont="1" applyFill="1" applyAlignment="1">
      <alignment horizontal="left" vertical="center"/>
    </xf>
    <xf numFmtId="0" fontId="13" fillId="0" borderId="0" xfId="15" applyFont="1" applyFill="1"/>
    <xf numFmtId="49" fontId="13" fillId="0" borderId="0" xfId="7" applyNumberFormat="1" applyFont="1" applyFill="1" applyAlignment="1">
      <alignment horizontal="left"/>
    </xf>
    <xf numFmtId="49" fontId="13" fillId="0" borderId="0" xfId="15" applyNumberFormat="1" applyFont="1" applyFill="1" applyProtection="1">
      <protection locked="0"/>
    </xf>
    <xf numFmtId="38" fontId="139" fillId="0" borderId="0" xfId="7" applyNumberFormat="1" applyFont="1" applyFill="1"/>
    <xf numFmtId="49" fontId="24" fillId="0" borderId="0" xfId="24457" applyNumberFormat="1" applyFill="1" applyAlignment="1">
      <alignment horizontal="center"/>
    </xf>
    <xf numFmtId="188" fontId="13" fillId="0" borderId="0" xfId="0" applyNumberFormat="1" applyFont="1" applyFill="1" applyAlignment="1">
      <alignment horizontal="center"/>
    </xf>
    <xf numFmtId="49" fontId="13" fillId="0" borderId="0" xfId="15" applyNumberFormat="1" applyFont="1" applyFill="1"/>
    <xf numFmtId="49" fontId="13" fillId="0" borderId="0" xfId="15" applyNumberFormat="1" applyFont="1" applyFill="1" applyAlignment="1">
      <alignment wrapText="1"/>
    </xf>
    <xf numFmtId="38" fontId="13" fillId="0" borderId="0" xfId="15" applyNumberFormat="1" applyFont="1" applyFill="1" applyAlignment="1">
      <alignment wrapText="1"/>
    </xf>
    <xf numFmtId="38" fontId="13" fillId="0" borderId="0" xfId="0" applyNumberFormat="1" applyFont="1" applyFill="1"/>
    <xf numFmtId="49" fontId="13" fillId="0" borderId="0" xfId="24457" applyNumberFormat="1" applyFont="1" applyFill="1" applyAlignment="1">
      <alignment horizontal="left"/>
    </xf>
    <xf numFmtId="49" fontId="13" fillId="0" borderId="0" xfId="24457" applyNumberFormat="1" applyFont="1" applyFill="1"/>
    <xf numFmtId="49" fontId="24" fillId="0" borderId="0" xfId="24457" applyNumberFormat="1" applyFill="1" applyAlignment="1">
      <alignment horizontal="left"/>
    </xf>
    <xf numFmtId="49" fontId="24" fillId="0" borderId="0" xfId="24457" applyNumberFormat="1" applyFill="1"/>
    <xf numFmtId="49" fontId="24" fillId="0" borderId="0" xfId="24457" applyNumberFormat="1" applyFill="1" applyAlignment="1">
      <alignment wrapText="1"/>
    </xf>
    <xf numFmtId="0" fontId="13" fillId="0" borderId="0" xfId="14" applyFont="1" applyFill="1"/>
    <xf numFmtId="0" fontId="12" fillId="0" borderId="0" xfId="14" applyFont="1" applyFill="1"/>
    <xf numFmtId="1" fontId="13" fillId="0" borderId="0" xfId="14" applyNumberFormat="1" applyFont="1" applyFill="1" applyAlignment="1">
      <alignment horizontal="center"/>
    </xf>
    <xf numFmtId="1" fontId="12" fillId="0" borderId="0" xfId="14" applyNumberFormat="1" applyFont="1" applyFill="1" applyAlignment="1">
      <alignment horizontal="center"/>
    </xf>
    <xf numFmtId="0" fontId="12" fillId="0" borderId="3" xfId="14" applyFont="1" applyFill="1" applyBorder="1" applyAlignment="1">
      <alignment horizontal="center"/>
    </xf>
    <xf numFmtId="3" fontId="12" fillId="0" borderId="0" xfId="24" applyNumberFormat="1" applyFont="1" applyFill="1" applyBorder="1" applyAlignment="1">
      <alignment horizontal="center" wrapText="1"/>
    </xf>
    <xf numFmtId="0" fontId="12" fillId="0" borderId="3" xfId="14" applyFont="1" applyFill="1" applyBorder="1" applyAlignment="1">
      <alignment horizontal="center" wrapText="1"/>
    </xf>
    <xf numFmtId="0" fontId="12" fillId="0" borderId="0" xfId="14" applyFont="1" applyFill="1" applyAlignment="1">
      <alignment horizontal="center" wrapText="1"/>
    </xf>
    <xf numFmtId="0" fontId="13" fillId="0" borderId="0" xfId="14" applyFont="1" applyFill="1" applyAlignment="1">
      <alignment horizontal="center" vertical="center"/>
    </xf>
    <xf numFmtId="0" fontId="13" fillId="0" borderId="0" xfId="24829" applyFont="1" applyFill="1"/>
    <xf numFmtId="3" fontId="13" fillId="0" borderId="0" xfId="14" applyNumberFormat="1" applyFont="1" applyFill="1"/>
    <xf numFmtId="0" fontId="12" fillId="0" borderId="0" xfId="9" applyFont="1" applyFill="1" applyAlignment="1">
      <alignment horizontal="right"/>
    </xf>
    <xf numFmtId="0" fontId="13" fillId="0" borderId="0" xfId="14" applyFont="1" applyFill="1" applyAlignment="1">
      <alignment horizontal="right"/>
    </xf>
    <xf numFmtId="3" fontId="13" fillId="0" borderId="4" xfId="14" applyNumberFormat="1" applyFont="1" applyFill="1" applyBorder="1"/>
    <xf numFmtId="0" fontId="13" fillId="0" borderId="0" xfId="14" applyFont="1" applyFill="1" applyAlignment="1">
      <alignment horizontal="left"/>
    </xf>
    <xf numFmtId="0" fontId="13" fillId="0" borderId="0" xfId="9" applyFont="1" applyFill="1" applyAlignment="1">
      <alignment horizontal="center"/>
    </xf>
    <xf numFmtId="0" fontId="13" fillId="0" borderId="0" xfId="9" applyFont="1" applyFill="1"/>
    <xf numFmtId="1" fontId="13" fillId="0" borderId="0" xfId="9" applyNumberFormat="1" applyFont="1" applyFill="1" applyAlignment="1">
      <alignment horizontal="center"/>
    </xf>
    <xf numFmtId="3" fontId="13" fillId="0" borderId="0" xfId="9" applyNumberFormat="1" applyFont="1" applyFill="1"/>
    <xf numFmtId="0" fontId="12" fillId="0" borderId="1" xfId="14" applyFont="1" applyFill="1" applyBorder="1" applyAlignment="1">
      <alignment horizontal="center" wrapText="1"/>
    </xf>
    <xf numFmtId="41" fontId="12" fillId="0" borderId="0" xfId="14" applyNumberFormat="1" applyFont="1" applyFill="1" applyAlignment="1">
      <alignment horizontal="center"/>
    </xf>
    <xf numFmtId="1" fontId="13" fillId="0" borderId="0" xfId="16" applyNumberFormat="1" applyFont="1" applyFill="1" applyAlignment="1">
      <alignment horizontal="center"/>
    </xf>
    <xf numFmtId="41" fontId="13" fillId="0" borderId="0" xfId="14" applyNumberFormat="1" applyFont="1" applyFill="1"/>
    <xf numFmtId="41" fontId="55" fillId="0" borderId="0" xfId="14" applyNumberFormat="1" applyFont="1" applyFill="1"/>
    <xf numFmtId="0" fontId="13" fillId="0" borderId="3" xfId="0" applyFont="1" applyFill="1" applyBorder="1" applyAlignment="1">
      <alignment horizontal="centerContinuous"/>
    </xf>
    <xf numFmtId="41" fontId="13" fillId="0" borderId="3" xfId="0" applyNumberFormat="1" applyFont="1" applyFill="1" applyBorder="1" applyAlignment="1">
      <alignment horizontal="centerContinuous"/>
    </xf>
    <xf numFmtId="41" fontId="13" fillId="0" borderId="3" xfId="0" applyNumberFormat="1" applyFont="1" applyFill="1" applyBorder="1" applyAlignment="1">
      <alignment horizontal="center"/>
    </xf>
    <xf numFmtId="41" fontId="15" fillId="0" borderId="0" xfId="0" applyNumberFormat="1" applyFont="1" applyFill="1" applyAlignment="1">
      <alignment horizontal="right"/>
    </xf>
    <xf numFmtId="42" fontId="13" fillId="0" borderId="0" xfId="0" applyNumberFormat="1" applyFont="1" applyFill="1"/>
    <xf numFmtId="42" fontId="13" fillId="0" borderId="3" xfId="0" applyNumberFormat="1" applyFont="1" applyFill="1" applyBorder="1"/>
    <xf numFmtId="168" fontId="13" fillId="0" borderId="0" xfId="0" applyNumberFormat="1" applyFont="1" applyFill="1"/>
    <xf numFmtId="169" fontId="13" fillId="0" borderId="0" xfId="0" applyNumberFormat="1" applyFont="1" applyFill="1"/>
    <xf numFmtId="0" fontId="27" fillId="0" borderId="0" xfId="0" applyFont="1" applyFill="1"/>
    <xf numFmtId="168" fontId="12" fillId="0" borderId="0" xfId="0" applyNumberFormat="1" applyFont="1" applyFill="1" applyAlignment="1">
      <alignment horizontal="left"/>
    </xf>
    <xf numFmtId="168" fontId="13" fillId="0" borderId="0" xfId="0" applyNumberFormat="1" applyFont="1" applyFill="1" applyAlignment="1">
      <alignment horizontal="left"/>
    </xf>
    <xf numFmtId="10" fontId="13" fillId="0" borderId="0" xfId="0" applyNumberFormat="1" applyFont="1" applyFill="1" applyAlignment="1">
      <alignment horizontal="left"/>
    </xf>
    <xf numFmtId="168" fontId="13" fillId="0" borderId="0" xfId="0" applyNumberFormat="1" applyFont="1" applyFill="1" applyAlignment="1">
      <alignment horizontal="right"/>
    </xf>
    <xf numFmtId="169" fontId="12" fillId="0" borderId="0" xfId="0" applyNumberFormat="1" applyFont="1" applyFill="1"/>
    <xf numFmtId="0" fontId="12" fillId="0" borderId="0" xfId="0" applyFont="1" applyFill="1" applyAlignment="1">
      <alignment horizontal="left"/>
    </xf>
    <xf numFmtId="0" fontId="34" fillId="0" borderId="0" xfId="0" applyFont="1" applyFill="1" applyAlignment="1">
      <alignment horizontal="center"/>
    </xf>
    <xf numFmtId="0" fontId="13" fillId="0" borderId="3" xfId="0" applyFont="1" applyFill="1" applyBorder="1" applyAlignment="1">
      <alignment horizontal="right"/>
    </xf>
    <xf numFmtId="0" fontId="34" fillId="0" borderId="3" xfId="0" applyFont="1" applyFill="1" applyBorder="1" applyAlignment="1">
      <alignment horizontal="center"/>
    </xf>
    <xf numFmtId="0" fontId="13" fillId="0" borderId="9" xfId="0" applyFont="1" applyFill="1" applyBorder="1" applyAlignment="1">
      <alignment horizontal="right"/>
    </xf>
    <xf numFmtId="0" fontId="13" fillId="0" borderId="11" xfId="0" applyFont="1" applyFill="1" applyBorder="1" applyAlignment="1">
      <alignment horizontal="right" vertical="center"/>
    </xf>
    <xf numFmtId="0" fontId="13" fillId="0" borderId="0" xfId="0" applyFont="1" applyFill="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Alignment="1">
      <alignment horizontal="center" vertical="center"/>
    </xf>
    <xf numFmtId="1" fontId="13" fillId="0" borderId="0" xfId="0" applyNumberFormat="1" applyFont="1" applyFill="1" applyAlignment="1">
      <alignment horizontal="left"/>
    </xf>
    <xf numFmtId="1" fontId="13" fillId="0" borderId="4" xfId="0" applyNumberFormat="1" applyFont="1" applyFill="1" applyBorder="1" applyAlignment="1">
      <alignment horizontal="center"/>
    </xf>
    <xf numFmtId="175" fontId="13" fillId="0" borderId="0" xfId="0" applyNumberFormat="1" applyFont="1" applyFill="1" applyAlignment="1">
      <alignment horizontal="center"/>
    </xf>
    <xf numFmtId="0" fontId="13" fillId="0" borderId="14" xfId="0" applyFont="1" applyFill="1" applyBorder="1" applyAlignment="1">
      <alignment horizontal="left"/>
    </xf>
    <xf numFmtId="0" fontId="13" fillId="0" borderId="3" xfId="0" applyFont="1" applyFill="1" applyBorder="1" applyAlignment="1">
      <alignment horizontal="left"/>
    </xf>
    <xf numFmtId="0" fontId="15" fillId="0" borderId="11" xfId="0" applyFont="1" applyFill="1" applyBorder="1" applyAlignment="1">
      <alignment horizontal="center"/>
    </xf>
    <xf numFmtId="182" fontId="13" fillId="0" borderId="0" xfId="28689" applyNumberFormat="1" applyFont="1" applyFill="1" applyAlignment="1">
      <alignment horizontal="center"/>
    </xf>
    <xf numFmtId="1" fontId="13" fillId="0" borderId="0" xfId="28689" applyNumberFormat="1" applyFont="1" applyFill="1" applyAlignment="1">
      <alignment horizontal="center"/>
    </xf>
    <xf numFmtId="1" fontId="13" fillId="0" borderId="3" xfId="0" applyNumberFormat="1" applyFont="1" applyFill="1" applyBorder="1" applyAlignment="1">
      <alignment horizontal="center"/>
    </xf>
    <xf numFmtId="1" fontId="13" fillId="0" borderId="13" xfId="0" applyNumberFormat="1" applyFont="1" applyFill="1" applyBorder="1" applyAlignment="1">
      <alignment horizontal="center"/>
    </xf>
    <xf numFmtId="0" fontId="12" fillId="0" borderId="11" xfId="0" applyFont="1" applyFill="1" applyBorder="1" applyAlignment="1">
      <alignment horizontal="right"/>
    </xf>
    <xf numFmtId="0" fontId="12" fillId="0" borderId="11" xfId="0" applyFont="1" applyFill="1" applyBorder="1" applyAlignment="1">
      <alignment horizontal="right" vertical="center"/>
    </xf>
    <xf numFmtId="0" fontId="0" fillId="0" borderId="0" xfId="0" applyFill="1" applyAlignment="1">
      <alignment horizontal="center" vertical="center" wrapText="1"/>
    </xf>
    <xf numFmtId="14" fontId="13" fillId="0" borderId="0" xfId="0" applyNumberFormat="1" applyFont="1" applyFill="1" applyAlignment="1">
      <alignment wrapText="1"/>
    </xf>
    <xf numFmtId="192" fontId="13" fillId="0" borderId="0" xfId="0" applyNumberFormat="1" applyFont="1" applyFill="1"/>
    <xf numFmtId="170" fontId="13" fillId="0" borderId="0" xfId="0" applyNumberFormat="1" applyFont="1" applyFill="1"/>
    <xf numFmtId="188" fontId="13" fillId="0" borderId="0" xfId="0" applyNumberFormat="1" applyFont="1" applyFill="1" applyAlignment="1">
      <alignment horizontal="right"/>
    </xf>
    <xf numFmtId="188" fontId="0" fillId="0" borderId="0" xfId="0" applyNumberFormat="1" applyFill="1" applyAlignment="1">
      <alignment horizontal="left"/>
    </xf>
    <xf numFmtId="37" fontId="13" fillId="0" borderId="0" xfId="0" applyNumberFormat="1" applyFont="1" applyFill="1" applyAlignment="1">
      <alignment horizontal="right"/>
    </xf>
    <xf numFmtId="37" fontId="13" fillId="0" borderId="0" xfId="0" applyNumberFormat="1" applyFont="1" applyFill="1"/>
    <xf numFmtId="37" fontId="15" fillId="0" borderId="0" xfId="0" applyNumberFormat="1" applyFont="1" applyFill="1"/>
    <xf numFmtId="16" fontId="13" fillId="0" borderId="0" xfId="0" applyNumberFormat="1" applyFont="1" applyFill="1"/>
    <xf numFmtId="41" fontId="12" fillId="0" borderId="0" xfId="0" applyNumberFormat="1" applyFont="1" applyFill="1" applyAlignment="1">
      <alignment horizontal="center"/>
    </xf>
    <xf numFmtId="41" fontId="13" fillId="0" borderId="0" xfId="0" applyNumberFormat="1" applyFont="1" applyFill="1" applyAlignment="1">
      <alignment horizontal="right"/>
    </xf>
    <xf numFmtId="41" fontId="13" fillId="0" borderId="3" xfId="0" applyNumberFormat="1" applyFont="1" applyFill="1" applyBorder="1"/>
    <xf numFmtId="167" fontId="13" fillId="0" borderId="0" xfId="0" applyNumberFormat="1" applyFont="1" applyFill="1"/>
    <xf numFmtId="172" fontId="13" fillId="0" borderId="0" xfId="0" applyNumberFormat="1" applyFont="1" applyFill="1"/>
    <xf numFmtId="174" fontId="13" fillId="0" borderId="0" xfId="0" applyNumberFormat="1" applyFont="1" applyFill="1" applyAlignment="1">
      <alignment horizontal="right"/>
    </xf>
    <xf numFmtId="8" fontId="13" fillId="0" borderId="0" xfId="0" applyNumberFormat="1" applyFont="1" applyFill="1" applyAlignment="1">
      <alignment horizontal="center" vertical="top"/>
    </xf>
    <xf numFmtId="0" fontId="13" fillId="0" borderId="0" xfId="0" applyFont="1" applyFill="1" applyAlignment="1">
      <alignment horizontal="center" vertical="top" wrapText="1"/>
    </xf>
    <xf numFmtId="183" fontId="13" fillId="0" borderId="0" xfId="0" applyNumberFormat="1" applyFont="1" applyFill="1" applyAlignment="1">
      <alignment horizontal="center"/>
    </xf>
    <xf numFmtId="1" fontId="13" fillId="0" borderId="3" xfId="0" quotePrefix="1" applyNumberFormat="1" applyFont="1" applyFill="1" applyBorder="1"/>
    <xf numFmtId="8" fontId="13" fillId="0" borderId="3" xfId="0" quotePrefix="1" applyNumberFormat="1" applyFont="1" applyFill="1" applyBorder="1" applyAlignment="1">
      <alignment horizontal="left"/>
    </xf>
    <xf numFmtId="0" fontId="13" fillId="0" borderId="3" xfId="0" applyFont="1" applyFill="1" applyBorder="1"/>
    <xf numFmtId="183" fontId="13" fillId="0" borderId="3" xfId="0" quotePrefix="1" applyNumberFormat="1" applyFont="1" applyFill="1" applyBorder="1" applyAlignment="1">
      <alignment horizontal="left"/>
    </xf>
    <xf numFmtId="1" fontId="13" fillId="0" borderId="0" xfId="0" applyNumberFormat="1" applyFont="1" applyFill="1" applyAlignment="1">
      <alignment horizontal="right"/>
    </xf>
    <xf numFmtId="37" fontId="13" fillId="0" borderId="0" xfId="0" applyNumberFormat="1" applyFont="1" applyFill="1" applyAlignment="1">
      <alignment horizontal="center"/>
    </xf>
    <xf numFmtId="7" fontId="13" fillId="0" borderId="0" xfId="0" applyNumberFormat="1" applyFont="1" applyFill="1" applyAlignment="1">
      <alignment horizontal="center"/>
    </xf>
    <xf numFmtId="0" fontId="13" fillId="0" borderId="0" xfId="0" applyFont="1" applyFill="1" applyAlignment="1">
      <alignment horizontal="left" indent="1"/>
    </xf>
    <xf numFmtId="186" fontId="13" fillId="0" borderId="0" xfId="0" applyNumberFormat="1" applyFont="1" applyFill="1"/>
    <xf numFmtId="0" fontId="13" fillId="0" borderId="0" xfId="0" applyFont="1" applyFill="1" applyAlignment="1">
      <alignment horizontal="left" wrapText="1" indent="1"/>
    </xf>
    <xf numFmtId="0" fontId="16" fillId="0" borderId="0" xfId="0" applyFont="1" applyFill="1" applyAlignment="1">
      <alignment horizontal="left"/>
    </xf>
    <xf numFmtId="174" fontId="13" fillId="0" borderId="0" xfId="0" quotePrefix="1" applyNumberFormat="1" applyFont="1" applyFill="1" applyAlignment="1">
      <alignment horizontal="center"/>
    </xf>
    <xf numFmtId="0" fontId="23" fillId="0" borderId="0" xfId="0" applyFont="1" applyFill="1"/>
    <xf numFmtId="0" fontId="23" fillId="0" borderId="0" xfId="0" applyFont="1" applyFill="1" applyAlignment="1">
      <alignment horizontal="center"/>
    </xf>
    <xf numFmtId="0" fontId="13" fillId="0" borderId="0" xfId="0" applyFont="1" applyFill="1" applyAlignment="1" applyProtection="1">
      <alignment wrapText="1"/>
      <protection locked="0"/>
    </xf>
    <xf numFmtId="0" fontId="13" fillId="0" borderId="0" xfId="0" applyFont="1" applyFill="1" applyAlignment="1">
      <alignment horizontal="left" vertical="top"/>
    </xf>
    <xf numFmtId="0" fontId="14" fillId="0" borderId="0" xfId="0" applyFont="1" applyFill="1" applyAlignment="1">
      <alignment horizontal="center"/>
    </xf>
    <xf numFmtId="0" fontId="15" fillId="0" borderId="0" xfId="0" applyFont="1" applyFill="1" applyAlignment="1">
      <alignment horizontal="center"/>
    </xf>
    <xf numFmtId="0" fontId="13" fillId="0" borderId="0" xfId="0" applyFont="1" applyFill="1" applyAlignment="1">
      <alignment horizontal="center"/>
    </xf>
    <xf numFmtId="0" fontId="12" fillId="0" borderId="0" xfId="0" applyFont="1" applyFill="1" applyAlignment="1">
      <alignment horizontal="center"/>
    </xf>
    <xf numFmtId="174" fontId="13" fillId="0" borderId="3" xfId="0" applyNumberFormat="1" applyFont="1" applyFill="1" applyBorder="1" applyAlignment="1">
      <alignment horizontal="center"/>
    </xf>
    <xf numFmtId="174" fontId="13" fillId="0" borderId="0" xfId="0" applyNumberFormat="1" applyFont="1" applyFill="1" applyAlignment="1">
      <alignment horizontal="center"/>
    </xf>
    <xf numFmtId="0" fontId="13" fillId="0" borderId="5" xfId="0" applyFont="1" applyFill="1" applyBorder="1" applyAlignment="1">
      <alignment horizontal="center"/>
    </xf>
    <xf numFmtId="0" fontId="13" fillId="0" borderId="10" xfId="0" applyFont="1" applyFill="1" applyBorder="1" applyAlignment="1">
      <alignment horizontal="center"/>
    </xf>
    <xf numFmtId="0" fontId="12" fillId="0" borderId="0" xfId="14" applyFont="1" applyFill="1" applyAlignment="1">
      <alignment horizontal="center"/>
    </xf>
    <xf numFmtId="0" fontId="13" fillId="0" borderId="0" xfId="14" applyFont="1" applyFill="1" applyAlignment="1">
      <alignment horizontal="center"/>
    </xf>
    <xf numFmtId="0" fontId="13" fillId="0" borderId="3" xfId="0" applyFont="1" applyFill="1" applyBorder="1" applyAlignment="1">
      <alignment horizontal="center" wrapText="1"/>
    </xf>
    <xf numFmtId="0" fontId="13" fillId="0" borderId="0" xfId="0" applyFont="1" applyFill="1" applyAlignment="1">
      <alignment horizontal="left" vertical="center" wrapText="1"/>
    </xf>
    <xf numFmtId="0" fontId="34" fillId="0" borderId="0" xfId="0" applyFont="1" applyFill="1" applyAlignment="1">
      <alignment horizontal="left" vertical="top" wrapText="1"/>
    </xf>
    <xf numFmtId="0" fontId="13" fillId="0" borderId="0" xfId="20544" applyFill="1" applyAlignment="1">
      <alignment horizontal="center"/>
    </xf>
    <xf numFmtId="0" fontId="12" fillId="0" borderId="0" xfId="20544" applyFont="1" applyFill="1" applyAlignment="1">
      <alignment horizontal="center"/>
    </xf>
    <xf numFmtId="0" fontId="13" fillId="0" borderId="3" xfId="20544" applyFill="1" applyBorder="1" applyAlignment="1">
      <alignment horizontal="center"/>
    </xf>
    <xf numFmtId="178" fontId="13" fillId="0" borderId="0" xfId="13" applyFont="1" applyFill="1" applyAlignment="1">
      <alignment horizontal="center"/>
    </xf>
    <xf numFmtId="0" fontId="13" fillId="0" borderId="0" xfId="7" applyFont="1" applyFill="1" applyAlignment="1">
      <alignment horizontal="center"/>
    </xf>
    <xf numFmtId="0" fontId="12" fillId="0" borderId="0" xfId="7" applyFont="1" applyFill="1" applyAlignment="1">
      <alignment horizontal="center"/>
    </xf>
    <xf numFmtId="0" fontId="35" fillId="0" borderId="0" xfId="0" applyFont="1" applyFill="1" applyAlignment="1">
      <alignment horizontal="center"/>
    </xf>
    <xf numFmtId="0" fontId="14" fillId="0" borderId="0" xfId="0" applyFont="1" applyFill="1" applyAlignment="1">
      <alignment horizontal="center"/>
    </xf>
    <xf numFmtId="185" fontId="14" fillId="0" borderId="0" xfId="0" applyNumberFormat="1" applyFont="1" applyFill="1" applyAlignment="1">
      <alignment horizontal="center"/>
    </xf>
    <xf numFmtId="0" fontId="14" fillId="0" borderId="0" xfId="0" applyFont="1" applyFill="1" applyAlignment="1" applyProtection="1">
      <alignment horizontal="center"/>
      <protection locked="0"/>
    </xf>
    <xf numFmtId="185" fontId="14" fillId="0" borderId="0" xfId="0" applyNumberFormat="1" applyFont="1" applyFill="1" applyAlignment="1" applyProtection="1">
      <alignment horizontal="center"/>
      <protection locked="0"/>
    </xf>
    <xf numFmtId="0" fontId="15" fillId="0" borderId="0" xfId="0" applyFont="1" applyFill="1" applyAlignment="1">
      <alignment horizontal="center"/>
    </xf>
    <xf numFmtId="0" fontId="13" fillId="0" borderId="0" xfId="0" applyFont="1" applyFill="1" applyAlignment="1">
      <alignment horizontal="center"/>
    </xf>
    <xf numFmtId="0" fontId="12" fillId="0" borderId="0" xfId="0" applyFont="1" applyFill="1" applyAlignment="1">
      <alignment horizontal="center"/>
    </xf>
    <xf numFmtId="174" fontId="13" fillId="0" borderId="3" xfId="0" applyNumberFormat="1" applyFont="1" applyFill="1" applyBorder="1" applyAlignment="1">
      <alignment horizontal="left"/>
    </xf>
    <xf numFmtId="174" fontId="13" fillId="0" borderId="3" xfId="0" applyNumberFormat="1" applyFont="1" applyFill="1" applyBorder="1" applyAlignment="1">
      <alignment horizontal="center"/>
    </xf>
    <xf numFmtId="174" fontId="13" fillId="0" borderId="0" xfId="0" applyNumberFormat="1" applyFont="1" applyFill="1" applyAlignment="1">
      <alignment horizontal="center"/>
    </xf>
    <xf numFmtId="174" fontId="13" fillId="0" borderId="0" xfId="0" applyNumberFormat="1" applyFont="1" applyFill="1" applyAlignment="1">
      <alignment horizontal="left"/>
    </xf>
    <xf numFmtId="174" fontId="13" fillId="0" borderId="0" xfId="0" applyNumberFormat="1" applyFont="1" applyFill="1" applyAlignment="1">
      <alignment horizontal="left" vertical="top"/>
    </xf>
    <xf numFmtId="0" fontId="13" fillId="0" borderId="0" xfId="0" applyFont="1" applyFill="1" applyAlignment="1">
      <alignment horizontal="left" wrapText="1"/>
    </xf>
    <xf numFmtId="0" fontId="38" fillId="0" borderId="0" xfId="0" applyFont="1" applyFill="1" applyAlignment="1">
      <alignment horizontal="center"/>
    </xf>
    <xf numFmtId="0" fontId="13" fillId="0" borderId="7" xfId="0" applyFont="1" applyFill="1" applyBorder="1" applyAlignment="1">
      <alignment horizontal="center"/>
    </xf>
    <xf numFmtId="0" fontId="13" fillId="0" borderId="9" xfId="0" applyFont="1" applyFill="1" applyBorder="1" applyAlignment="1">
      <alignment horizontal="center"/>
    </xf>
    <xf numFmtId="0" fontId="13" fillId="0" borderId="5" xfId="0" applyFont="1" applyFill="1" applyBorder="1" applyAlignment="1">
      <alignment horizontal="center"/>
    </xf>
    <xf numFmtId="0" fontId="13" fillId="0" borderId="10" xfId="0" applyFont="1" applyFill="1" applyBorder="1" applyAlignment="1">
      <alignment horizontal="center"/>
    </xf>
    <xf numFmtId="178" fontId="13" fillId="0" borderId="0" xfId="13" applyFont="1" applyFill="1" applyAlignment="1">
      <alignment horizontal="left" wrapText="1"/>
    </xf>
    <xf numFmtId="0" fontId="12" fillId="0" borderId="0" xfId="14" applyFont="1" applyFill="1" applyAlignment="1">
      <alignment horizontal="center"/>
    </xf>
    <xf numFmtId="0" fontId="13" fillId="0" borderId="0" xfId="14" applyFont="1" applyFill="1" applyAlignment="1">
      <alignment horizontal="center"/>
    </xf>
    <xf numFmtId="0" fontId="13" fillId="0" borderId="0" xfId="9" applyFont="1" applyFill="1" applyAlignment="1">
      <alignment horizontal="left" wrapText="1"/>
    </xf>
    <xf numFmtId="0" fontId="12" fillId="0" borderId="0" xfId="14" applyFont="1" applyFill="1" applyAlignment="1">
      <alignment horizontal="center" vertical="center"/>
    </xf>
    <xf numFmtId="0" fontId="27" fillId="0" borderId="0" xfId="14" applyFont="1" applyFill="1" applyAlignment="1">
      <alignment horizontal="center"/>
    </xf>
    <xf numFmtId="0" fontId="13" fillId="0" borderId="3" xfId="0" applyFont="1" applyFill="1" applyBorder="1" applyAlignment="1">
      <alignment horizontal="center" wrapText="1"/>
    </xf>
    <xf numFmtId="0" fontId="13" fillId="0" borderId="0" xfId="0" applyFont="1" applyFill="1" applyAlignment="1">
      <alignment horizontal="left" vertical="center" wrapText="1"/>
    </xf>
    <xf numFmtId="0" fontId="34" fillId="0" borderId="0" xfId="0" applyFont="1" applyFill="1" applyAlignment="1">
      <alignment horizontal="left" vertical="top" wrapText="1"/>
    </xf>
    <xf numFmtId="0" fontId="13" fillId="0" borderId="0" xfId="0" applyFont="1" applyFill="1" applyAlignment="1" applyProtection="1">
      <alignment horizontal="left" vertical="top" wrapText="1" readingOrder="1"/>
      <protection locked="0"/>
    </xf>
    <xf numFmtId="0" fontId="13" fillId="0" borderId="0" xfId="20544" applyFill="1" applyAlignment="1">
      <alignment horizontal="left" wrapText="1"/>
    </xf>
    <xf numFmtId="0" fontId="13" fillId="0" borderId="0" xfId="20544" applyFill="1" applyAlignment="1">
      <alignment horizontal="center"/>
    </xf>
    <xf numFmtId="0" fontId="12" fillId="0" borderId="0" xfId="20544" applyFont="1" applyFill="1" applyAlignment="1">
      <alignment horizontal="center"/>
    </xf>
    <xf numFmtId="0" fontId="13" fillId="0" borderId="3" xfId="20544" applyFill="1" applyBorder="1" applyAlignment="1">
      <alignment horizontal="center"/>
    </xf>
    <xf numFmtId="0" fontId="12" fillId="0" borderId="0" xfId="0" applyFont="1" applyFill="1" applyAlignment="1">
      <alignment horizontal="center" vertical="center"/>
    </xf>
    <xf numFmtId="0" fontId="109" fillId="0" borderId="0" xfId="28699" applyFont="1" applyFill="1" applyAlignment="1">
      <alignment horizontal="center"/>
    </xf>
    <xf numFmtId="0" fontId="13" fillId="0" borderId="11" xfId="0" applyFont="1" applyFill="1" applyBorder="1" applyAlignment="1">
      <alignment horizontal="left" wrapText="1"/>
    </xf>
    <xf numFmtId="0" fontId="13" fillId="0" borderId="12" xfId="0" applyFont="1" applyFill="1" applyBorder="1" applyAlignment="1">
      <alignment horizontal="left" wrapText="1"/>
    </xf>
    <xf numFmtId="0" fontId="13" fillId="0" borderId="14" xfId="0" applyFont="1" applyFill="1" applyBorder="1" applyAlignment="1">
      <alignment horizontal="left" wrapText="1"/>
    </xf>
    <xf numFmtId="0" fontId="13" fillId="0" borderId="3" xfId="0" applyFont="1" applyFill="1" applyBorder="1" applyAlignment="1">
      <alignment horizontal="left" wrapText="1"/>
    </xf>
    <xf numFmtId="0" fontId="13" fillId="0" borderId="13" xfId="0" applyFont="1" applyFill="1" applyBorder="1" applyAlignment="1">
      <alignment horizontal="left" wrapText="1"/>
    </xf>
    <xf numFmtId="0" fontId="13" fillId="0" borderId="15" xfId="0" applyFont="1" applyFill="1" applyBorder="1" applyAlignment="1">
      <alignment horizontal="center"/>
    </xf>
    <xf numFmtId="0" fontId="13" fillId="0" borderId="6" xfId="0" applyFont="1" applyFill="1" applyBorder="1" applyAlignment="1">
      <alignment horizontal="center"/>
    </xf>
    <xf numFmtId="178" fontId="37" fillId="0" borderId="0" xfId="13" applyFont="1" applyFill="1" applyAlignment="1">
      <alignment horizontal="center"/>
    </xf>
    <xf numFmtId="178" fontId="13" fillId="0" borderId="0" xfId="13" applyFont="1" applyFill="1" applyAlignment="1">
      <alignment horizontal="center"/>
    </xf>
    <xf numFmtId="0" fontId="13" fillId="0" borderId="0" xfId="7" applyFont="1" applyFill="1" applyAlignment="1">
      <alignment horizontal="left" wrapText="1"/>
    </xf>
    <xf numFmtId="0" fontId="13" fillId="0" borderId="0" xfId="7" applyFont="1" applyFill="1" applyAlignment="1">
      <alignment horizontal="center"/>
    </xf>
    <xf numFmtId="0" fontId="12" fillId="0" borderId="15"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15" xfId="7" applyFont="1" applyFill="1" applyBorder="1" applyAlignment="1">
      <alignment horizontal="center" wrapText="1"/>
    </xf>
    <xf numFmtId="0" fontId="12" fillId="0" borderId="7" xfId="7" applyFont="1" applyFill="1" applyBorder="1" applyAlignment="1">
      <alignment horizontal="center" wrapText="1"/>
    </xf>
    <xf numFmtId="0" fontId="12" fillId="0" borderId="6" xfId="7" applyFont="1" applyFill="1" applyBorder="1" applyAlignment="1">
      <alignment horizontal="center" wrapText="1"/>
    </xf>
    <xf numFmtId="0" fontId="12" fillId="0" borderId="15" xfId="7" applyFont="1" applyFill="1" applyBorder="1" applyAlignment="1">
      <alignment horizontal="center"/>
    </xf>
    <xf numFmtId="0" fontId="12" fillId="0" borderId="7" xfId="7" applyFont="1" applyFill="1" applyBorder="1" applyAlignment="1">
      <alignment horizontal="center"/>
    </xf>
    <xf numFmtId="0" fontId="12" fillId="0" borderId="6" xfId="7" applyFont="1" applyFill="1" applyBorder="1" applyAlignment="1">
      <alignment horizontal="center"/>
    </xf>
    <xf numFmtId="0" fontId="12" fillId="0" borderId="0" xfId="7" applyFont="1" applyFill="1" applyAlignment="1">
      <alignment horizontal="center"/>
    </xf>
  </cellXfs>
  <cellStyles count="28711">
    <cellStyle name="20% - Accent1" xfId="7105" builtinId="30" customBuiltin="1"/>
    <cellStyle name="20% - Accent1 10" xfId="640" xr:uid="{00000000-0005-0000-0000-000001000000}"/>
    <cellStyle name="20% - Accent1 10 2" xfId="4221" xr:uid="{00000000-0005-0000-0000-000002000000}"/>
    <cellStyle name="20% - Accent1 10 2 2" xfId="7117" xr:uid="{00000000-0005-0000-0000-000003000000}"/>
    <cellStyle name="20% - Accent1 10 3" xfId="7118" xr:uid="{00000000-0005-0000-0000-000004000000}"/>
    <cellStyle name="20% - Accent1 10 4" xfId="7119" xr:uid="{00000000-0005-0000-0000-000005000000}"/>
    <cellStyle name="20% - Accent1 10 5" xfId="7120" xr:uid="{00000000-0005-0000-0000-000006000000}"/>
    <cellStyle name="20% - Accent1 11" xfId="641" xr:uid="{00000000-0005-0000-0000-000007000000}"/>
    <cellStyle name="20% - Accent1 11 2" xfId="4222" xr:uid="{00000000-0005-0000-0000-000008000000}"/>
    <cellStyle name="20% - Accent1 11 2 2" xfId="7121" xr:uid="{00000000-0005-0000-0000-000009000000}"/>
    <cellStyle name="20% - Accent1 11 3" xfId="7122" xr:uid="{00000000-0005-0000-0000-00000A000000}"/>
    <cellStyle name="20% - Accent1 11 4" xfId="7123" xr:uid="{00000000-0005-0000-0000-00000B000000}"/>
    <cellStyle name="20% - Accent1 11 5" xfId="7124" xr:uid="{00000000-0005-0000-0000-00000C000000}"/>
    <cellStyle name="20% - Accent1 12" xfId="798" xr:uid="{00000000-0005-0000-0000-00000D000000}"/>
    <cellStyle name="20% - Accent1 12 2" xfId="7126" xr:uid="{00000000-0005-0000-0000-00000E000000}"/>
    <cellStyle name="20% - Accent1 12 3" xfId="7127" xr:uid="{00000000-0005-0000-0000-00000F000000}"/>
    <cellStyle name="20% - Accent1 12 4" xfId="7125" xr:uid="{00000000-0005-0000-0000-000010000000}"/>
    <cellStyle name="20% - Accent1 13" xfId="799" xr:uid="{00000000-0005-0000-0000-000011000000}"/>
    <cellStyle name="20% - Accent1 13 2" xfId="3845" xr:uid="{00000000-0005-0000-0000-000012000000}"/>
    <cellStyle name="20% - Accent1 13 2 2" xfId="5925" xr:uid="{00000000-0005-0000-0000-000013000000}"/>
    <cellStyle name="20% - Accent1 13 2 2 2" xfId="25075" xr:uid="{00000000-0005-0000-0000-000014000000}"/>
    <cellStyle name="20% - Accent1 13 2 3" xfId="7129" xr:uid="{00000000-0005-0000-0000-000015000000}"/>
    <cellStyle name="20% - Accent1 13 2 4" xfId="24981" xr:uid="{00000000-0005-0000-0000-000016000000}"/>
    <cellStyle name="20% - Accent1 13 2 5" xfId="25074" xr:uid="{00000000-0005-0000-0000-000017000000}"/>
    <cellStyle name="20% - Accent1 13 3" xfId="5924" xr:uid="{00000000-0005-0000-0000-000018000000}"/>
    <cellStyle name="20% - Accent1 13 3 2" xfId="7130" xr:uid="{00000000-0005-0000-0000-000019000000}"/>
    <cellStyle name="20% - Accent1 13 3 3" xfId="25076" xr:uid="{00000000-0005-0000-0000-00001A000000}"/>
    <cellStyle name="20% - Accent1 13 4" xfId="7128" xr:uid="{00000000-0005-0000-0000-00001B000000}"/>
    <cellStyle name="20% - Accent1 13 5" xfId="24860" xr:uid="{00000000-0005-0000-0000-00001C000000}"/>
    <cellStyle name="20% - Accent1 13 6" xfId="25073" xr:uid="{00000000-0005-0000-0000-00001D000000}"/>
    <cellStyle name="20% - Accent1 14" xfId="921" xr:uid="{00000000-0005-0000-0000-00001E000000}"/>
    <cellStyle name="20% - Accent1 14 2" xfId="7132" xr:uid="{00000000-0005-0000-0000-00001F000000}"/>
    <cellStyle name="20% - Accent1 14 3" xfId="7133" xr:uid="{00000000-0005-0000-0000-000020000000}"/>
    <cellStyle name="20% - Accent1 14 4" xfId="7131" xr:uid="{00000000-0005-0000-0000-000021000000}"/>
    <cellStyle name="20% - Accent1 15" xfId="7134" xr:uid="{00000000-0005-0000-0000-000022000000}"/>
    <cellStyle name="20% - Accent1 15 2" xfId="7135" xr:uid="{00000000-0005-0000-0000-000023000000}"/>
    <cellStyle name="20% - Accent1 15 3" xfId="7136" xr:uid="{00000000-0005-0000-0000-000024000000}"/>
    <cellStyle name="20% - Accent1 16" xfId="7137" xr:uid="{00000000-0005-0000-0000-000025000000}"/>
    <cellStyle name="20% - Accent1 16 2" xfId="7138" xr:uid="{00000000-0005-0000-0000-000026000000}"/>
    <cellStyle name="20% - Accent1 16 3" xfId="7139" xr:uid="{00000000-0005-0000-0000-000027000000}"/>
    <cellStyle name="20% - Accent1 17" xfId="7140" xr:uid="{00000000-0005-0000-0000-000028000000}"/>
    <cellStyle name="20% - Accent1 17 2" xfId="7141" xr:uid="{00000000-0005-0000-0000-000029000000}"/>
    <cellStyle name="20% - Accent1 17 3" xfId="7142" xr:uid="{00000000-0005-0000-0000-00002A000000}"/>
    <cellStyle name="20% - Accent1 18" xfId="7143" xr:uid="{00000000-0005-0000-0000-00002B000000}"/>
    <cellStyle name="20% - Accent1 18 2" xfId="7144" xr:uid="{00000000-0005-0000-0000-00002C000000}"/>
    <cellStyle name="20% - Accent1 18 3" xfId="7145" xr:uid="{00000000-0005-0000-0000-00002D000000}"/>
    <cellStyle name="20% - Accent1 19" xfId="7146" xr:uid="{00000000-0005-0000-0000-00002E000000}"/>
    <cellStyle name="20% - Accent1 19 2" xfId="7147" xr:uid="{00000000-0005-0000-0000-00002F000000}"/>
    <cellStyle name="20% - Accent1 2" xfId="68" xr:uid="{00000000-0005-0000-0000-000030000000}"/>
    <cellStyle name="20% - Accent1 2 10" xfId="1667" xr:uid="{00000000-0005-0000-0000-000031000000}"/>
    <cellStyle name="20% - Accent1 2 10 2" xfId="4223" xr:uid="{00000000-0005-0000-0000-000032000000}"/>
    <cellStyle name="20% - Accent1 2 10 2 2" xfId="7148" xr:uid="{00000000-0005-0000-0000-000033000000}"/>
    <cellStyle name="20% - Accent1 2 10 3" xfId="7149" xr:uid="{00000000-0005-0000-0000-000034000000}"/>
    <cellStyle name="20% - Accent1 2 10 4" xfId="7150" xr:uid="{00000000-0005-0000-0000-000035000000}"/>
    <cellStyle name="20% - Accent1 2 10 5" xfId="7151" xr:uid="{00000000-0005-0000-0000-000036000000}"/>
    <cellStyle name="20% - Accent1 2 11" xfId="1666" xr:uid="{00000000-0005-0000-0000-000037000000}"/>
    <cellStyle name="20% - Accent1 2 11 2" xfId="4224" xr:uid="{00000000-0005-0000-0000-000038000000}"/>
    <cellStyle name="20% - Accent1 2 11 2 2" xfId="7152" xr:uid="{00000000-0005-0000-0000-000039000000}"/>
    <cellStyle name="20% - Accent1 2 11 3" xfId="7153" xr:uid="{00000000-0005-0000-0000-00003A000000}"/>
    <cellStyle name="20% - Accent1 2 11 4" xfId="7154" xr:uid="{00000000-0005-0000-0000-00003B000000}"/>
    <cellStyle name="20% - Accent1 2 11 5" xfId="7155" xr:uid="{00000000-0005-0000-0000-00003C000000}"/>
    <cellStyle name="20% - Accent1 2 12" xfId="1876" xr:uid="{00000000-0005-0000-0000-00003D000000}"/>
    <cellStyle name="20% - Accent1 2 12 2" xfId="4225" xr:uid="{00000000-0005-0000-0000-00003E000000}"/>
    <cellStyle name="20% - Accent1 2 12 2 2" xfId="7156" xr:uid="{00000000-0005-0000-0000-00003F000000}"/>
    <cellStyle name="20% - Accent1 2 12 3" xfId="7157" xr:uid="{00000000-0005-0000-0000-000040000000}"/>
    <cellStyle name="20% - Accent1 2 12 4" xfId="7158" xr:uid="{00000000-0005-0000-0000-000041000000}"/>
    <cellStyle name="20% - Accent1 2 12 5" xfId="7159" xr:uid="{00000000-0005-0000-0000-000042000000}"/>
    <cellStyle name="20% - Accent1 2 13" xfId="2251" xr:uid="{00000000-0005-0000-0000-000043000000}"/>
    <cellStyle name="20% - Accent1 2 13 2" xfId="4226" xr:uid="{00000000-0005-0000-0000-000044000000}"/>
    <cellStyle name="20% - Accent1 2 13 2 2" xfId="7160" xr:uid="{00000000-0005-0000-0000-000045000000}"/>
    <cellStyle name="20% - Accent1 2 13 3" xfId="7161" xr:uid="{00000000-0005-0000-0000-000046000000}"/>
    <cellStyle name="20% - Accent1 2 13 4" xfId="7162" xr:uid="{00000000-0005-0000-0000-000047000000}"/>
    <cellStyle name="20% - Accent1 2 13 5" xfId="7163" xr:uid="{00000000-0005-0000-0000-000048000000}"/>
    <cellStyle name="20% - Accent1 2 14" xfId="2414" xr:uid="{00000000-0005-0000-0000-000049000000}"/>
    <cellStyle name="20% - Accent1 2 14 2" xfId="4227" xr:uid="{00000000-0005-0000-0000-00004A000000}"/>
    <cellStyle name="20% - Accent1 2 14 2 2" xfId="7164" xr:uid="{00000000-0005-0000-0000-00004B000000}"/>
    <cellStyle name="20% - Accent1 2 14 3" xfId="7165" xr:uid="{00000000-0005-0000-0000-00004C000000}"/>
    <cellStyle name="20% - Accent1 2 14 4" xfId="7166" xr:uid="{00000000-0005-0000-0000-00004D000000}"/>
    <cellStyle name="20% - Accent1 2 14 5" xfId="7167" xr:uid="{00000000-0005-0000-0000-00004E000000}"/>
    <cellStyle name="20% - Accent1 2 15" xfId="2997" xr:uid="{00000000-0005-0000-0000-00004F000000}"/>
    <cellStyle name="20% - Accent1 2 15 2" xfId="4228" xr:uid="{00000000-0005-0000-0000-000050000000}"/>
    <cellStyle name="20% - Accent1 2 15 2 2" xfId="7168" xr:uid="{00000000-0005-0000-0000-000051000000}"/>
    <cellStyle name="20% - Accent1 2 15 3" xfId="7169" xr:uid="{00000000-0005-0000-0000-000052000000}"/>
    <cellStyle name="20% - Accent1 2 16" xfId="3632" xr:uid="{00000000-0005-0000-0000-000053000000}"/>
    <cellStyle name="20% - Accent1 2 16 2" xfId="4229" xr:uid="{00000000-0005-0000-0000-000054000000}"/>
    <cellStyle name="20% - Accent1 2 16 2 2" xfId="7170" xr:uid="{00000000-0005-0000-0000-000055000000}"/>
    <cellStyle name="20% - Accent1 2 16 3" xfId="7171" xr:uid="{00000000-0005-0000-0000-000056000000}"/>
    <cellStyle name="20% - Accent1 2 17" xfId="24467" xr:uid="{00000000-0005-0000-0000-000057000000}"/>
    <cellStyle name="20% - Accent1 2 2" xfId="112" xr:uid="{00000000-0005-0000-0000-000058000000}"/>
    <cellStyle name="20% - Accent1 2 2 10" xfId="7172" xr:uid="{00000000-0005-0000-0000-000059000000}"/>
    <cellStyle name="20% - Accent1 2 2 10 2" xfId="7173" xr:uid="{00000000-0005-0000-0000-00005A000000}"/>
    <cellStyle name="20% - Accent1 2 2 10 3" xfId="7174" xr:uid="{00000000-0005-0000-0000-00005B000000}"/>
    <cellStyle name="20% - Accent1 2 2 11" xfId="7175" xr:uid="{00000000-0005-0000-0000-00005C000000}"/>
    <cellStyle name="20% - Accent1 2 2 11 2" xfId="7176" xr:uid="{00000000-0005-0000-0000-00005D000000}"/>
    <cellStyle name="20% - Accent1 2 2 11 3" xfId="7177" xr:uid="{00000000-0005-0000-0000-00005E000000}"/>
    <cellStyle name="20% - Accent1 2 2 12" xfId="7178" xr:uid="{00000000-0005-0000-0000-00005F000000}"/>
    <cellStyle name="20% - Accent1 2 2 12 2" xfId="7179" xr:uid="{00000000-0005-0000-0000-000060000000}"/>
    <cellStyle name="20% - Accent1 2 2 12 3" xfId="7180" xr:uid="{00000000-0005-0000-0000-000061000000}"/>
    <cellStyle name="20% - Accent1 2 2 13" xfId="7181" xr:uid="{00000000-0005-0000-0000-000062000000}"/>
    <cellStyle name="20% - Accent1 2 2 14" xfId="7182" xr:uid="{00000000-0005-0000-0000-000063000000}"/>
    <cellStyle name="20% - Accent1 2 2 15" xfId="7183" xr:uid="{00000000-0005-0000-0000-000064000000}"/>
    <cellStyle name="20% - Accent1 2 2 2" xfId="171" xr:uid="{00000000-0005-0000-0000-000065000000}"/>
    <cellStyle name="20% - Accent1 2 2 2 2" xfId="7184" xr:uid="{00000000-0005-0000-0000-000066000000}"/>
    <cellStyle name="20% - Accent1 2 2 2 3" xfId="7185" xr:uid="{00000000-0005-0000-0000-000067000000}"/>
    <cellStyle name="20% - Accent1 2 2 3" xfId="335" xr:uid="{00000000-0005-0000-0000-000068000000}"/>
    <cellStyle name="20% - Accent1 2 2 3 2" xfId="7186" xr:uid="{00000000-0005-0000-0000-000069000000}"/>
    <cellStyle name="20% - Accent1 2 2 3 3" xfId="7187" xr:uid="{00000000-0005-0000-0000-00006A000000}"/>
    <cellStyle name="20% - Accent1 2 2 4" xfId="2157" xr:uid="{00000000-0005-0000-0000-00006B000000}"/>
    <cellStyle name="20% - Accent1 2 2 4 2" xfId="7188" xr:uid="{00000000-0005-0000-0000-00006C000000}"/>
    <cellStyle name="20% - Accent1 2 2 4 3" xfId="7189" xr:uid="{00000000-0005-0000-0000-00006D000000}"/>
    <cellStyle name="20% - Accent1 2 2 5" xfId="2531" xr:uid="{00000000-0005-0000-0000-00006E000000}"/>
    <cellStyle name="20% - Accent1 2 2 5 2" xfId="7190" xr:uid="{00000000-0005-0000-0000-00006F000000}"/>
    <cellStyle name="20% - Accent1 2 2 5 3" xfId="7191" xr:uid="{00000000-0005-0000-0000-000070000000}"/>
    <cellStyle name="20% - Accent1 2 2 6" xfId="2903" xr:uid="{00000000-0005-0000-0000-000071000000}"/>
    <cellStyle name="20% - Accent1 2 2 6 2" xfId="7192" xr:uid="{00000000-0005-0000-0000-000072000000}"/>
    <cellStyle name="20% - Accent1 2 2 6 3" xfId="7193" xr:uid="{00000000-0005-0000-0000-000073000000}"/>
    <cellStyle name="20% - Accent1 2 2 7" xfId="3275" xr:uid="{00000000-0005-0000-0000-000074000000}"/>
    <cellStyle name="20% - Accent1 2 2 7 2" xfId="7194" xr:uid="{00000000-0005-0000-0000-000075000000}"/>
    <cellStyle name="20% - Accent1 2 2 7 3" xfId="7195" xr:uid="{00000000-0005-0000-0000-000076000000}"/>
    <cellStyle name="20% - Accent1 2 2 8" xfId="4230" xr:uid="{00000000-0005-0000-0000-000077000000}"/>
    <cellStyle name="20% - Accent1 2 2 8 2" xfId="7197" xr:uid="{00000000-0005-0000-0000-000078000000}"/>
    <cellStyle name="20% - Accent1 2 2 8 3" xfId="7198" xr:uid="{00000000-0005-0000-0000-000079000000}"/>
    <cellStyle name="20% - Accent1 2 2 8 4" xfId="7196" xr:uid="{00000000-0005-0000-0000-00007A000000}"/>
    <cellStyle name="20% - Accent1 2 2 9" xfId="7199" xr:uid="{00000000-0005-0000-0000-00007B000000}"/>
    <cellStyle name="20% - Accent1 2 2 9 2" xfId="7200" xr:uid="{00000000-0005-0000-0000-00007C000000}"/>
    <cellStyle name="20% - Accent1 2 2 9 3" xfId="7201" xr:uid="{00000000-0005-0000-0000-00007D000000}"/>
    <cellStyle name="20% - Accent1 2 3" xfId="277" xr:uid="{00000000-0005-0000-0000-00007E000000}"/>
    <cellStyle name="20% - Accent1 2 3 2" xfId="1333" xr:uid="{00000000-0005-0000-0000-00007F000000}"/>
    <cellStyle name="20% - Accent1 2 3 2 2" xfId="7202" xr:uid="{00000000-0005-0000-0000-000080000000}"/>
    <cellStyle name="20% - Accent1 2 3 2 3" xfId="7203" xr:uid="{00000000-0005-0000-0000-000081000000}"/>
    <cellStyle name="20% - Accent1 2 3 3" xfId="7204" xr:uid="{00000000-0005-0000-0000-000082000000}"/>
    <cellStyle name="20% - Accent1 2 3 4" xfId="7205" xr:uid="{00000000-0005-0000-0000-000083000000}"/>
    <cellStyle name="20% - Accent1 2 4" xfId="358" xr:uid="{00000000-0005-0000-0000-000084000000}"/>
    <cellStyle name="20% - Accent1 2 4 2" xfId="7206" xr:uid="{00000000-0005-0000-0000-000085000000}"/>
    <cellStyle name="20% - Accent1 2 4 2 2" xfId="7207" xr:uid="{00000000-0005-0000-0000-000086000000}"/>
    <cellStyle name="20% - Accent1 2 4 2 3" xfId="7208" xr:uid="{00000000-0005-0000-0000-000087000000}"/>
    <cellStyle name="20% - Accent1 2 4 3" xfId="7209" xr:uid="{00000000-0005-0000-0000-000088000000}"/>
    <cellStyle name="20% - Accent1 2 4 4" xfId="7210" xr:uid="{00000000-0005-0000-0000-000089000000}"/>
    <cellStyle name="20% - Accent1 2 5" xfId="519" xr:uid="{00000000-0005-0000-0000-00008A000000}"/>
    <cellStyle name="20% - Accent1 2 5 2" xfId="7211" xr:uid="{00000000-0005-0000-0000-00008B000000}"/>
    <cellStyle name="20% - Accent1 2 5 3" xfId="7212" xr:uid="{00000000-0005-0000-0000-00008C000000}"/>
    <cellStyle name="20% - Accent1 2 6" xfId="642" xr:uid="{00000000-0005-0000-0000-00008D000000}"/>
    <cellStyle name="20% - Accent1 2 6 2" xfId="7213" xr:uid="{00000000-0005-0000-0000-00008E000000}"/>
    <cellStyle name="20% - Accent1 2 6 3" xfId="7214" xr:uid="{00000000-0005-0000-0000-00008F000000}"/>
    <cellStyle name="20% - Accent1 2 7" xfId="643" xr:uid="{00000000-0005-0000-0000-000090000000}"/>
    <cellStyle name="20% - Accent1 2 7 2" xfId="7215" xr:uid="{00000000-0005-0000-0000-000091000000}"/>
    <cellStyle name="20% - Accent1 2 7 3" xfId="7216" xr:uid="{00000000-0005-0000-0000-000092000000}"/>
    <cellStyle name="20% - Accent1 2 8" xfId="800" xr:uid="{00000000-0005-0000-0000-000093000000}"/>
    <cellStyle name="20% - Accent1 2 8 2" xfId="1396" xr:uid="{00000000-0005-0000-0000-000094000000}"/>
    <cellStyle name="20% - Accent1 2 8 2 2" xfId="7217" xr:uid="{00000000-0005-0000-0000-000095000000}"/>
    <cellStyle name="20% - Accent1 2 8 3" xfId="7218" xr:uid="{00000000-0005-0000-0000-000096000000}"/>
    <cellStyle name="20% - Accent1 2 8 4" xfId="7219" xr:uid="{00000000-0005-0000-0000-000097000000}"/>
    <cellStyle name="20% - Accent1 2 8 5" xfId="7220" xr:uid="{00000000-0005-0000-0000-000098000000}"/>
    <cellStyle name="20% - Accent1 2 9" xfId="922" xr:uid="{00000000-0005-0000-0000-000099000000}"/>
    <cellStyle name="20% - Accent1 2 9 2" xfId="1387" xr:uid="{00000000-0005-0000-0000-00009A000000}"/>
    <cellStyle name="20% - Accent1 2 9 2 2" xfId="7221" xr:uid="{00000000-0005-0000-0000-00009B000000}"/>
    <cellStyle name="20% - Accent1 2 9 3" xfId="7222" xr:uid="{00000000-0005-0000-0000-00009C000000}"/>
    <cellStyle name="20% - Accent1 2 9 4" xfId="7223" xr:uid="{00000000-0005-0000-0000-00009D000000}"/>
    <cellStyle name="20% - Accent1 2 9 5" xfId="7224" xr:uid="{00000000-0005-0000-0000-00009E000000}"/>
    <cellStyle name="20% - Accent1 20" xfId="7225" xr:uid="{00000000-0005-0000-0000-00009F000000}"/>
    <cellStyle name="20% - Accent1 21" xfId="7226" xr:uid="{00000000-0005-0000-0000-0000A0000000}"/>
    <cellStyle name="20% - Accent1 21 2" xfId="7227" xr:uid="{00000000-0005-0000-0000-0000A1000000}"/>
    <cellStyle name="20% - Accent1 21 2 2" xfId="7228" xr:uid="{00000000-0005-0000-0000-0000A2000000}"/>
    <cellStyle name="20% - Accent1 21 2 2 2" xfId="25079" xr:uid="{00000000-0005-0000-0000-0000A3000000}"/>
    <cellStyle name="20% - Accent1 21 2 2 3" xfId="28150" xr:uid="{00000000-0005-0000-0000-0000A4000000}"/>
    <cellStyle name="20% - Accent1 21 2 3" xfId="7229" xr:uid="{00000000-0005-0000-0000-0000A5000000}"/>
    <cellStyle name="20% - Accent1 21 2 3 2" xfId="25080" xr:uid="{00000000-0005-0000-0000-0000A6000000}"/>
    <cellStyle name="20% - Accent1 21 2 3 3" xfId="28151" xr:uid="{00000000-0005-0000-0000-0000A7000000}"/>
    <cellStyle name="20% - Accent1 21 2 4" xfId="25078" xr:uid="{00000000-0005-0000-0000-0000A8000000}"/>
    <cellStyle name="20% - Accent1 21 2 5" xfId="28149" xr:uid="{00000000-0005-0000-0000-0000A9000000}"/>
    <cellStyle name="20% - Accent1 21 3" xfId="7230" xr:uid="{00000000-0005-0000-0000-0000AA000000}"/>
    <cellStyle name="20% - Accent1 21 3 2" xfId="25081" xr:uid="{00000000-0005-0000-0000-0000AB000000}"/>
    <cellStyle name="20% - Accent1 21 3 3" xfId="28152" xr:uid="{00000000-0005-0000-0000-0000AC000000}"/>
    <cellStyle name="20% - Accent1 21 4" xfId="7231" xr:uid="{00000000-0005-0000-0000-0000AD000000}"/>
    <cellStyle name="20% - Accent1 21 4 2" xfId="25082" xr:uid="{00000000-0005-0000-0000-0000AE000000}"/>
    <cellStyle name="20% - Accent1 21 4 3" xfId="28153" xr:uid="{00000000-0005-0000-0000-0000AF000000}"/>
    <cellStyle name="20% - Accent1 21 5" xfId="25077" xr:uid="{00000000-0005-0000-0000-0000B0000000}"/>
    <cellStyle name="20% - Accent1 21 6" xfId="28148" xr:uid="{00000000-0005-0000-0000-0000B1000000}"/>
    <cellStyle name="20% - Accent1 22" xfId="7232" xr:uid="{00000000-0005-0000-0000-0000B2000000}"/>
    <cellStyle name="20% - Accent1 22 2" xfId="7233" xr:uid="{00000000-0005-0000-0000-0000B3000000}"/>
    <cellStyle name="20% - Accent1 22 2 2" xfId="7234" xr:uid="{00000000-0005-0000-0000-0000B4000000}"/>
    <cellStyle name="20% - Accent1 22 2 2 2" xfId="25085" xr:uid="{00000000-0005-0000-0000-0000B5000000}"/>
    <cellStyle name="20% - Accent1 22 2 2 3" xfId="28156" xr:uid="{00000000-0005-0000-0000-0000B6000000}"/>
    <cellStyle name="20% - Accent1 22 2 3" xfId="7235" xr:uid="{00000000-0005-0000-0000-0000B7000000}"/>
    <cellStyle name="20% - Accent1 22 2 3 2" xfId="25086" xr:uid="{00000000-0005-0000-0000-0000B8000000}"/>
    <cellStyle name="20% - Accent1 22 2 3 3" xfId="28157" xr:uid="{00000000-0005-0000-0000-0000B9000000}"/>
    <cellStyle name="20% - Accent1 22 2 4" xfId="25084" xr:uid="{00000000-0005-0000-0000-0000BA000000}"/>
    <cellStyle name="20% - Accent1 22 2 5" xfId="28155" xr:uid="{00000000-0005-0000-0000-0000BB000000}"/>
    <cellStyle name="20% - Accent1 22 3" xfId="7236" xr:uid="{00000000-0005-0000-0000-0000BC000000}"/>
    <cellStyle name="20% - Accent1 22 3 2" xfId="25087" xr:uid="{00000000-0005-0000-0000-0000BD000000}"/>
    <cellStyle name="20% - Accent1 22 3 3" xfId="28158" xr:uid="{00000000-0005-0000-0000-0000BE000000}"/>
    <cellStyle name="20% - Accent1 22 4" xfId="7237" xr:uid="{00000000-0005-0000-0000-0000BF000000}"/>
    <cellStyle name="20% - Accent1 22 4 2" xfId="25088" xr:uid="{00000000-0005-0000-0000-0000C0000000}"/>
    <cellStyle name="20% - Accent1 22 4 3" xfId="28159" xr:uid="{00000000-0005-0000-0000-0000C1000000}"/>
    <cellStyle name="20% - Accent1 22 5" xfId="25083" xr:uid="{00000000-0005-0000-0000-0000C2000000}"/>
    <cellStyle name="20% - Accent1 22 6" xfId="28154" xr:uid="{00000000-0005-0000-0000-0000C3000000}"/>
    <cellStyle name="20% - Accent1 23" xfId="7238" xr:uid="{00000000-0005-0000-0000-0000C4000000}"/>
    <cellStyle name="20% - Accent1 24" xfId="7239" xr:uid="{00000000-0005-0000-0000-0000C5000000}"/>
    <cellStyle name="20% - Accent1 24 2" xfId="7240" xr:uid="{00000000-0005-0000-0000-0000C6000000}"/>
    <cellStyle name="20% - Accent1 24 2 2" xfId="7241" xr:uid="{00000000-0005-0000-0000-0000C7000000}"/>
    <cellStyle name="20% - Accent1 24 2 2 2" xfId="25091" xr:uid="{00000000-0005-0000-0000-0000C8000000}"/>
    <cellStyle name="20% - Accent1 24 2 2 3" xfId="28162" xr:uid="{00000000-0005-0000-0000-0000C9000000}"/>
    <cellStyle name="20% - Accent1 24 2 3" xfId="7242" xr:uid="{00000000-0005-0000-0000-0000CA000000}"/>
    <cellStyle name="20% - Accent1 24 2 3 2" xfId="25092" xr:uid="{00000000-0005-0000-0000-0000CB000000}"/>
    <cellStyle name="20% - Accent1 24 2 3 3" xfId="28163" xr:uid="{00000000-0005-0000-0000-0000CC000000}"/>
    <cellStyle name="20% - Accent1 24 2 4" xfId="25090" xr:uid="{00000000-0005-0000-0000-0000CD000000}"/>
    <cellStyle name="20% - Accent1 24 2 5" xfId="28161" xr:uid="{00000000-0005-0000-0000-0000CE000000}"/>
    <cellStyle name="20% - Accent1 24 3" xfId="7243" xr:uid="{00000000-0005-0000-0000-0000CF000000}"/>
    <cellStyle name="20% - Accent1 24 3 2" xfId="25093" xr:uid="{00000000-0005-0000-0000-0000D0000000}"/>
    <cellStyle name="20% - Accent1 24 3 3" xfId="28164" xr:uid="{00000000-0005-0000-0000-0000D1000000}"/>
    <cellStyle name="20% - Accent1 24 4" xfId="7244" xr:uid="{00000000-0005-0000-0000-0000D2000000}"/>
    <cellStyle name="20% - Accent1 24 4 2" xfId="25094" xr:uid="{00000000-0005-0000-0000-0000D3000000}"/>
    <cellStyle name="20% - Accent1 24 4 3" xfId="28165" xr:uid="{00000000-0005-0000-0000-0000D4000000}"/>
    <cellStyle name="20% - Accent1 24 5" xfId="25089" xr:uid="{00000000-0005-0000-0000-0000D5000000}"/>
    <cellStyle name="20% - Accent1 24 6" xfId="28160" xr:uid="{00000000-0005-0000-0000-0000D6000000}"/>
    <cellStyle name="20% - Accent1 25" xfId="7245" xr:uid="{00000000-0005-0000-0000-0000D7000000}"/>
    <cellStyle name="20% - Accent1 25 2" xfId="7246" xr:uid="{00000000-0005-0000-0000-0000D8000000}"/>
    <cellStyle name="20% - Accent1 25 2 2" xfId="7247" xr:uid="{00000000-0005-0000-0000-0000D9000000}"/>
    <cellStyle name="20% - Accent1 25 2 2 2" xfId="25097" xr:uid="{00000000-0005-0000-0000-0000DA000000}"/>
    <cellStyle name="20% - Accent1 25 2 2 3" xfId="28168" xr:uid="{00000000-0005-0000-0000-0000DB000000}"/>
    <cellStyle name="20% - Accent1 25 2 3" xfId="7248" xr:uid="{00000000-0005-0000-0000-0000DC000000}"/>
    <cellStyle name="20% - Accent1 25 2 3 2" xfId="25098" xr:uid="{00000000-0005-0000-0000-0000DD000000}"/>
    <cellStyle name="20% - Accent1 25 2 3 3" xfId="28169" xr:uid="{00000000-0005-0000-0000-0000DE000000}"/>
    <cellStyle name="20% - Accent1 25 2 4" xfId="25096" xr:uid="{00000000-0005-0000-0000-0000DF000000}"/>
    <cellStyle name="20% - Accent1 25 2 5" xfId="28167" xr:uid="{00000000-0005-0000-0000-0000E0000000}"/>
    <cellStyle name="20% - Accent1 25 3" xfId="7249" xr:uid="{00000000-0005-0000-0000-0000E1000000}"/>
    <cellStyle name="20% - Accent1 25 3 2" xfId="25099" xr:uid="{00000000-0005-0000-0000-0000E2000000}"/>
    <cellStyle name="20% - Accent1 25 3 3" xfId="28170" xr:uid="{00000000-0005-0000-0000-0000E3000000}"/>
    <cellStyle name="20% - Accent1 25 4" xfId="7250" xr:uid="{00000000-0005-0000-0000-0000E4000000}"/>
    <cellStyle name="20% - Accent1 25 4 2" xfId="25100" xr:uid="{00000000-0005-0000-0000-0000E5000000}"/>
    <cellStyle name="20% - Accent1 25 4 3" xfId="28171" xr:uid="{00000000-0005-0000-0000-0000E6000000}"/>
    <cellStyle name="20% - Accent1 25 5" xfId="25095" xr:uid="{00000000-0005-0000-0000-0000E7000000}"/>
    <cellStyle name="20% - Accent1 25 6" xfId="28166" xr:uid="{00000000-0005-0000-0000-0000E8000000}"/>
    <cellStyle name="20% - Accent1 26" xfId="7251" xr:uid="{00000000-0005-0000-0000-0000E9000000}"/>
    <cellStyle name="20% - Accent1 27" xfId="7252" xr:uid="{00000000-0005-0000-0000-0000EA000000}"/>
    <cellStyle name="20% - Accent1 27 2" xfId="7253" xr:uid="{00000000-0005-0000-0000-0000EB000000}"/>
    <cellStyle name="20% - Accent1 27 2 2" xfId="7254" xr:uid="{00000000-0005-0000-0000-0000EC000000}"/>
    <cellStyle name="20% - Accent1 27 2 2 2" xfId="25103" xr:uid="{00000000-0005-0000-0000-0000ED000000}"/>
    <cellStyle name="20% - Accent1 27 2 2 3" xfId="28174" xr:uid="{00000000-0005-0000-0000-0000EE000000}"/>
    <cellStyle name="20% - Accent1 27 2 3" xfId="7255" xr:uid="{00000000-0005-0000-0000-0000EF000000}"/>
    <cellStyle name="20% - Accent1 27 2 3 2" xfId="25104" xr:uid="{00000000-0005-0000-0000-0000F0000000}"/>
    <cellStyle name="20% - Accent1 27 2 3 3" xfId="28175" xr:uid="{00000000-0005-0000-0000-0000F1000000}"/>
    <cellStyle name="20% - Accent1 27 2 4" xfId="25102" xr:uid="{00000000-0005-0000-0000-0000F2000000}"/>
    <cellStyle name="20% - Accent1 27 2 5" xfId="28173" xr:uid="{00000000-0005-0000-0000-0000F3000000}"/>
    <cellStyle name="20% - Accent1 27 3" xfId="7256" xr:uid="{00000000-0005-0000-0000-0000F4000000}"/>
    <cellStyle name="20% - Accent1 27 3 2" xfId="25105" xr:uid="{00000000-0005-0000-0000-0000F5000000}"/>
    <cellStyle name="20% - Accent1 27 3 3" xfId="28176" xr:uid="{00000000-0005-0000-0000-0000F6000000}"/>
    <cellStyle name="20% - Accent1 27 4" xfId="7257" xr:uid="{00000000-0005-0000-0000-0000F7000000}"/>
    <cellStyle name="20% - Accent1 27 4 2" xfId="25106" xr:uid="{00000000-0005-0000-0000-0000F8000000}"/>
    <cellStyle name="20% - Accent1 27 4 3" xfId="28177" xr:uid="{00000000-0005-0000-0000-0000F9000000}"/>
    <cellStyle name="20% - Accent1 27 5" xfId="25101" xr:uid="{00000000-0005-0000-0000-0000FA000000}"/>
    <cellStyle name="20% - Accent1 27 6" xfId="28172" xr:uid="{00000000-0005-0000-0000-0000FB000000}"/>
    <cellStyle name="20% - Accent1 28" xfId="7258" xr:uid="{00000000-0005-0000-0000-0000FC000000}"/>
    <cellStyle name="20% - Accent1 28 2" xfId="7259" xr:uid="{00000000-0005-0000-0000-0000FD000000}"/>
    <cellStyle name="20% - Accent1 28 2 2" xfId="25108" xr:uid="{00000000-0005-0000-0000-0000FE000000}"/>
    <cellStyle name="20% - Accent1 28 2 3" xfId="28179" xr:uid="{00000000-0005-0000-0000-0000FF000000}"/>
    <cellStyle name="20% - Accent1 28 3" xfId="7260" xr:uid="{00000000-0005-0000-0000-000000010000}"/>
    <cellStyle name="20% - Accent1 28 3 2" xfId="25109" xr:uid="{00000000-0005-0000-0000-000001010000}"/>
    <cellStyle name="20% - Accent1 28 3 3" xfId="28180" xr:uid="{00000000-0005-0000-0000-000002010000}"/>
    <cellStyle name="20% - Accent1 28 4" xfId="25107" xr:uid="{00000000-0005-0000-0000-000003010000}"/>
    <cellStyle name="20% - Accent1 28 5" xfId="28178" xr:uid="{00000000-0005-0000-0000-000004010000}"/>
    <cellStyle name="20% - Accent1 29" xfId="7261" xr:uid="{00000000-0005-0000-0000-000005010000}"/>
    <cellStyle name="20% - Accent1 29 2" xfId="25110" xr:uid="{00000000-0005-0000-0000-000006010000}"/>
    <cellStyle name="20% - Accent1 29 3" xfId="28181" xr:uid="{00000000-0005-0000-0000-000007010000}"/>
    <cellStyle name="20% - Accent1 3" xfId="212" xr:uid="{00000000-0005-0000-0000-000008010000}"/>
    <cellStyle name="20% - Accent1 3 10" xfId="3675" xr:uid="{00000000-0005-0000-0000-000009010000}"/>
    <cellStyle name="20% - Accent1 3 10 2" xfId="4231" xr:uid="{00000000-0005-0000-0000-00000A010000}"/>
    <cellStyle name="20% - Accent1 3 10 2 2" xfId="7262" xr:uid="{00000000-0005-0000-0000-00000B010000}"/>
    <cellStyle name="20% - Accent1 3 10 3" xfId="7263" xr:uid="{00000000-0005-0000-0000-00000C010000}"/>
    <cellStyle name="20% - Accent1 3 10 4" xfId="7264" xr:uid="{00000000-0005-0000-0000-00000D010000}"/>
    <cellStyle name="20% - Accent1 3 10 5" xfId="7265" xr:uid="{00000000-0005-0000-0000-00000E010000}"/>
    <cellStyle name="20% - Accent1 3 11" xfId="7266" xr:uid="{00000000-0005-0000-0000-00000F010000}"/>
    <cellStyle name="20% - Accent1 3 11 2" xfId="7267" xr:uid="{00000000-0005-0000-0000-000010010000}"/>
    <cellStyle name="20% - Accent1 3 11 3" xfId="7268" xr:uid="{00000000-0005-0000-0000-000011010000}"/>
    <cellStyle name="20% - Accent1 3 12" xfId="7269" xr:uid="{00000000-0005-0000-0000-000012010000}"/>
    <cellStyle name="20% - Accent1 3 12 2" xfId="7270" xr:uid="{00000000-0005-0000-0000-000013010000}"/>
    <cellStyle name="20% - Accent1 3 12 3" xfId="7271" xr:uid="{00000000-0005-0000-0000-000014010000}"/>
    <cellStyle name="20% - Accent1 3 13" xfId="7272" xr:uid="{00000000-0005-0000-0000-000015010000}"/>
    <cellStyle name="20% - Accent1 3 13 2" xfId="7273" xr:uid="{00000000-0005-0000-0000-000016010000}"/>
    <cellStyle name="20% - Accent1 3 13 3" xfId="7274" xr:uid="{00000000-0005-0000-0000-000017010000}"/>
    <cellStyle name="20% - Accent1 3 14" xfId="7275" xr:uid="{00000000-0005-0000-0000-000018010000}"/>
    <cellStyle name="20% - Accent1 3 15" xfId="7276" xr:uid="{00000000-0005-0000-0000-000019010000}"/>
    <cellStyle name="20% - Accent1 3 2" xfId="1448" xr:uid="{00000000-0005-0000-0000-00001A010000}"/>
    <cellStyle name="20% - Accent1 3 2 10" xfId="7277" xr:uid="{00000000-0005-0000-0000-00001B010000}"/>
    <cellStyle name="20% - Accent1 3 2 10 2" xfId="7278" xr:uid="{00000000-0005-0000-0000-00001C010000}"/>
    <cellStyle name="20% - Accent1 3 2 10 3" xfId="7279" xr:uid="{00000000-0005-0000-0000-00001D010000}"/>
    <cellStyle name="20% - Accent1 3 2 11" xfId="7280" xr:uid="{00000000-0005-0000-0000-00001E010000}"/>
    <cellStyle name="20% - Accent1 3 2 11 2" xfId="7281" xr:uid="{00000000-0005-0000-0000-00001F010000}"/>
    <cellStyle name="20% - Accent1 3 2 11 3" xfId="7282" xr:uid="{00000000-0005-0000-0000-000020010000}"/>
    <cellStyle name="20% - Accent1 3 2 12" xfId="7283" xr:uid="{00000000-0005-0000-0000-000021010000}"/>
    <cellStyle name="20% - Accent1 3 2 12 2" xfId="7284" xr:uid="{00000000-0005-0000-0000-000022010000}"/>
    <cellStyle name="20% - Accent1 3 2 12 3" xfId="7285" xr:uid="{00000000-0005-0000-0000-000023010000}"/>
    <cellStyle name="20% - Accent1 3 2 13" xfId="7286" xr:uid="{00000000-0005-0000-0000-000024010000}"/>
    <cellStyle name="20% - Accent1 3 2 14" xfId="7287" xr:uid="{00000000-0005-0000-0000-000025010000}"/>
    <cellStyle name="20% - Accent1 3 2 15" xfId="7288" xr:uid="{00000000-0005-0000-0000-000026010000}"/>
    <cellStyle name="20% - Accent1 3 2 2" xfId="1823" xr:uid="{00000000-0005-0000-0000-000027010000}"/>
    <cellStyle name="20% - Accent1 3 2 2 2" xfId="7289" xr:uid="{00000000-0005-0000-0000-000028010000}"/>
    <cellStyle name="20% - Accent1 3 2 2 3" xfId="7290" xr:uid="{00000000-0005-0000-0000-000029010000}"/>
    <cellStyle name="20% - Accent1 3 2 3" xfId="2198" xr:uid="{00000000-0005-0000-0000-00002A010000}"/>
    <cellStyle name="20% - Accent1 3 2 3 2" xfId="7291" xr:uid="{00000000-0005-0000-0000-00002B010000}"/>
    <cellStyle name="20% - Accent1 3 2 3 3" xfId="7292" xr:uid="{00000000-0005-0000-0000-00002C010000}"/>
    <cellStyle name="20% - Accent1 3 2 4" xfId="2572" xr:uid="{00000000-0005-0000-0000-00002D010000}"/>
    <cellStyle name="20% - Accent1 3 2 4 2" xfId="7293" xr:uid="{00000000-0005-0000-0000-00002E010000}"/>
    <cellStyle name="20% - Accent1 3 2 4 3" xfId="7294" xr:uid="{00000000-0005-0000-0000-00002F010000}"/>
    <cellStyle name="20% - Accent1 3 2 5" xfId="2944" xr:uid="{00000000-0005-0000-0000-000030010000}"/>
    <cellStyle name="20% - Accent1 3 2 5 2" xfId="7295" xr:uid="{00000000-0005-0000-0000-000031010000}"/>
    <cellStyle name="20% - Accent1 3 2 5 3" xfId="7296" xr:uid="{00000000-0005-0000-0000-000032010000}"/>
    <cellStyle name="20% - Accent1 3 2 6" xfId="3316" xr:uid="{00000000-0005-0000-0000-000033010000}"/>
    <cellStyle name="20% - Accent1 3 2 6 2" xfId="7297" xr:uid="{00000000-0005-0000-0000-000034010000}"/>
    <cellStyle name="20% - Accent1 3 2 6 3" xfId="7298" xr:uid="{00000000-0005-0000-0000-000035010000}"/>
    <cellStyle name="20% - Accent1 3 2 7" xfId="4232" xr:uid="{00000000-0005-0000-0000-000036010000}"/>
    <cellStyle name="20% - Accent1 3 2 7 2" xfId="7300" xr:uid="{00000000-0005-0000-0000-000037010000}"/>
    <cellStyle name="20% - Accent1 3 2 7 3" xfId="7301" xr:uid="{00000000-0005-0000-0000-000038010000}"/>
    <cellStyle name="20% - Accent1 3 2 7 4" xfId="7299" xr:uid="{00000000-0005-0000-0000-000039010000}"/>
    <cellStyle name="20% - Accent1 3 2 8" xfId="7302" xr:uid="{00000000-0005-0000-0000-00003A010000}"/>
    <cellStyle name="20% - Accent1 3 2 8 2" xfId="7303" xr:uid="{00000000-0005-0000-0000-00003B010000}"/>
    <cellStyle name="20% - Accent1 3 2 8 3" xfId="7304" xr:uid="{00000000-0005-0000-0000-00003C010000}"/>
    <cellStyle name="20% - Accent1 3 2 9" xfId="7305" xr:uid="{00000000-0005-0000-0000-00003D010000}"/>
    <cellStyle name="20% - Accent1 3 2 9 2" xfId="7306" xr:uid="{00000000-0005-0000-0000-00003E010000}"/>
    <cellStyle name="20% - Accent1 3 2 9 3" xfId="7307" xr:uid="{00000000-0005-0000-0000-00003F010000}"/>
    <cellStyle name="20% - Accent1 3 3" xfId="1575" xr:uid="{00000000-0005-0000-0000-000040010000}"/>
    <cellStyle name="20% - Accent1 3 3 2" xfId="1900" xr:uid="{00000000-0005-0000-0000-000041010000}"/>
    <cellStyle name="20% - Accent1 3 3 3" xfId="2275" xr:uid="{00000000-0005-0000-0000-000042010000}"/>
    <cellStyle name="20% - Accent1 3 3 4" xfId="2648" xr:uid="{00000000-0005-0000-0000-000043010000}"/>
    <cellStyle name="20% - Accent1 3 3 5" xfId="3021" xr:uid="{00000000-0005-0000-0000-000044010000}"/>
    <cellStyle name="20% - Accent1 3 3 6" xfId="3392" xr:uid="{00000000-0005-0000-0000-000045010000}"/>
    <cellStyle name="20% - Accent1 3 3 7" xfId="4233" xr:uid="{00000000-0005-0000-0000-000046010000}"/>
    <cellStyle name="20% - Accent1 3 4" xfId="1712" xr:uid="{00000000-0005-0000-0000-000047010000}"/>
    <cellStyle name="20% - Accent1 3 4 2" xfId="1944" xr:uid="{00000000-0005-0000-0000-000048010000}"/>
    <cellStyle name="20% - Accent1 3 4 3" xfId="2319" xr:uid="{00000000-0005-0000-0000-000049010000}"/>
    <cellStyle name="20% - Accent1 3 4 4" xfId="2692" xr:uid="{00000000-0005-0000-0000-00004A010000}"/>
    <cellStyle name="20% - Accent1 3 4 5" xfId="3065" xr:uid="{00000000-0005-0000-0000-00004B010000}"/>
    <cellStyle name="20% - Accent1 3 4 6" xfId="3436" xr:uid="{00000000-0005-0000-0000-00004C010000}"/>
    <cellStyle name="20% - Accent1 3 5" xfId="2047" xr:uid="{00000000-0005-0000-0000-00004D010000}"/>
    <cellStyle name="20% - Accent1 3 5 2" xfId="7308" xr:uid="{00000000-0005-0000-0000-00004E010000}"/>
    <cellStyle name="20% - Accent1 3 5 3" xfId="7309" xr:uid="{00000000-0005-0000-0000-00004F010000}"/>
    <cellStyle name="20% - Accent1 3 5 4" xfId="7310" xr:uid="{00000000-0005-0000-0000-000050010000}"/>
    <cellStyle name="20% - Accent1 3 6" xfId="2421" xr:uid="{00000000-0005-0000-0000-000051010000}"/>
    <cellStyle name="20% - Accent1 3 6 2" xfId="7311" xr:uid="{00000000-0005-0000-0000-000052010000}"/>
    <cellStyle name="20% - Accent1 3 6 3" xfId="7312" xr:uid="{00000000-0005-0000-0000-000053010000}"/>
    <cellStyle name="20% - Accent1 3 6 4" xfId="7313" xr:uid="{00000000-0005-0000-0000-000054010000}"/>
    <cellStyle name="20% - Accent1 3 7" xfId="2793" xr:uid="{00000000-0005-0000-0000-000055010000}"/>
    <cellStyle name="20% - Accent1 3 7 2" xfId="7314" xr:uid="{00000000-0005-0000-0000-000056010000}"/>
    <cellStyle name="20% - Accent1 3 7 3" xfId="7315" xr:uid="{00000000-0005-0000-0000-000057010000}"/>
    <cellStyle name="20% - Accent1 3 7 4" xfId="7316" xr:uid="{00000000-0005-0000-0000-000058010000}"/>
    <cellStyle name="20% - Accent1 3 8" xfId="3164" xr:uid="{00000000-0005-0000-0000-000059010000}"/>
    <cellStyle name="20% - Accent1 3 8 2" xfId="7317" xr:uid="{00000000-0005-0000-0000-00005A010000}"/>
    <cellStyle name="20% - Accent1 3 8 3" xfId="7318" xr:uid="{00000000-0005-0000-0000-00005B010000}"/>
    <cellStyle name="20% - Accent1 3 8 4" xfId="7319" xr:uid="{00000000-0005-0000-0000-00005C010000}"/>
    <cellStyle name="20% - Accent1 3 9" xfId="3539" xr:uid="{00000000-0005-0000-0000-00005D010000}"/>
    <cellStyle name="20% - Accent1 3 9 2" xfId="4234" xr:uid="{00000000-0005-0000-0000-00005E010000}"/>
    <cellStyle name="20% - Accent1 3 9 2 2" xfId="7320" xr:uid="{00000000-0005-0000-0000-00005F010000}"/>
    <cellStyle name="20% - Accent1 3 9 3" xfId="7321" xr:uid="{00000000-0005-0000-0000-000060010000}"/>
    <cellStyle name="20% - Accent1 3 9 4" xfId="7322" xr:uid="{00000000-0005-0000-0000-000061010000}"/>
    <cellStyle name="20% - Accent1 3 9 5" xfId="7323" xr:uid="{00000000-0005-0000-0000-000062010000}"/>
    <cellStyle name="20% - Accent1 30" xfId="28140" xr:uid="{00000000-0005-0000-0000-000063010000}"/>
    <cellStyle name="20% - Accent1 4" xfId="235" xr:uid="{00000000-0005-0000-0000-000064010000}"/>
    <cellStyle name="20% - Accent1 4 10" xfId="3719" xr:uid="{00000000-0005-0000-0000-000065010000}"/>
    <cellStyle name="20% - Accent1 4 10 2" xfId="4236" xr:uid="{00000000-0005-0000-0000-000066010000}"/>
    <cellStyle name="20% - Accent1 4 10 2 2" xfId="7325" xr:uid="{00000000-0005-0000-0000-000067010000}"/>
    <cellStyle name="20% - Accent1 4 10 3" xfId="7326" xr:uid="{00000000-0005-0000-0000-000068010000}"/>
    <cellStyle name="20% - Accent1 4 10 4" xfId="7327" xr:uid="{00000000-0005-0000-0000-000069010000}"/>
    <cellStyle name="20% - Accent1 4 10 5" xfId="7328" xr:uid="{00000000-0005-0000-0000-00006A010000}"/>
    <cellStyle name="20% - Accent1 4 11" xfId="1294" xr:uid="{00000000-0005-0000-0000-00006B010000}"/>
    <cellStyle name="20% - Accent1 4 11 10" xfId="25111" xr:uid="{00000000-0005-0000-0000-00006C010000}"/>
    <cellStyle name="20% - Accent1 4 11 11" xfId="28183" xr:uid="{00000000-0005-0000-0000-00006D010000}"/>
    <cellStyle name="20% - Accent1 4 11 2" xfId="4144" xr:uid="{00000000-0005-0000-0000-00006E010000}"/>
    <cellStyle name="20% - Accent1 4 11 2 2" xfId="5306" xr:uid="{00000000-0005-0000-0000-00006F010000}"/>
    <cellStyle name="20% - Accent1 4 11 2 2 2" xfId="5928" xr:uid="{00000000-0005-0000-0000-000070010000}"/>
    <cellStyle name="20% - Accent1 4 11 2 2 2 2" xfId="25114" xr:uid="{00000000-0005-0000-0000-000071010000}"/>
    <cellStyle name="20% - Accent1 4 11 2 2 3" xfId="7331" xr:uid="{00000000-0005-0000-0000-000072010000}"/>
    <cellStyle name="20% - Accent1 4 11 2 2 4" xfId="25113" xr:uid="{00000000-0005-0000-0000-000073010000}"/>
    <cellStyle name="20% - Accent1 4 11 2 3" xfId="5616" xr:uid="{00000000-0005-0000-0000-000074010000}"/>
    <cellStyle name="20% - Accent1 4 11 2 3 2" xfId="5929" xr:uid="{00000000-0005-0000-0000-000075010000}"/>
    <cellStyle name="20% - Accent1 4 11 2 3 2 2" xfId="25116" xr:uid="{00000000-0005-0000-0000-000076010000}"/>
    <cellStyle name="20% - Accent1 4 11 2 3 3" xfId="25115" xr:uid="{00000000-0005-0000-0000-000077010000}"/>
    <cellStyle name="20% - Accent1 4 11 2 4" xfId="4238" xr:uid="{00000000-0005-0000-0000-000078010000}"/>
    <cellStyle name="20% - Accent1 4 11 2 4 2" xfId="5930" xr:uid="{00000000-0005-0000-0000-000079010000}"/>
    <cellStyle name="20% - Accent1 4 11 2 4 2 2" xfId="25118" xr:uid="{00000000-0005-0000-0000-00007A010000}"/>
    <cellStyle name="20% - Accent1 4 11 2 4 3" xfId="25117" xr:uid="{00000000-0005-0000-0000-00007B010000}"/>
    <cellStyle name="20% - Accent1 4 11 2 5" xfId="5927" xr:uid="{00000000-0005-0000-0000-00007C010000}"/>
    <cellStyle name="20% - Accent1 4 11 2 5 2" xfId="25119" xr:uid="{00000000-0005-0000-0000-00007D010000}"/>
    <cellStyle name="20% - Accent1 4 11 2 6" xfId="7330" xr:uid="{00000000-0005-0000-0000-00007E010000}"/>
    <cellStyle name="20% - Accent1 4 11 2 6 2" xfId="25120" xr:uid="{00000000-0005-0000-0000-00007F010000}"/>
    <cellStyle name="20% - Accent1 4 11 2 7" xfId="24996" xr:uid="{00000000-0005-0000-0000-000080010000}"/>
    <cellStyle name="20% - Accent1 4 11 2 8" xfId="25112" xr:uid="{00000000-0005-0000-0000-000081010000}"/>
    <cellStyle name="20% - Accent1 4 11 2 9" xfId="28184" xr:uid="{00000000-0005-0000-0000-000082010000}"/>
    <cellStyle name="20% - Accent1 4 11 3" xfId="5305" xr:uid="{00000000-0005-0000-0000-000083010000}"/>
    <cellStyle name="20% - Accent1 4 11 3 2" xfId="5931" xr:uid="{00000000-0005-0000-0000-000084010000}"/>
    <cellStyle name="20% - Accent1 4 11 3 2 2" xfId="25122" xr:uid="{00000000-0005-0000-0000-000085010000}"/>
    <cellStyle name="20% - Accent1 4 11 3 3" xfId="7332" xr:uid="{00000000-0005-0000-0000-000086010000}"/>
    <cellStyle name="20% - Accent1 4 11 3 4" xfId="25121" xr:uid="{00000000-0005-0000-0000-000087010000}"/>
    <cellStyle name="20% - Accent1 4 11 4" xfId="5615" xr:uid="{00000000-0005-0000-0000-000088010000}"/>
    <cellStyle name="20% - Accent1 4 11 4 2" xfId="5932" xr:uid="{00000000-0005-0000-0000-000089010000}"/>
    <cellStyle name="20% - Accent1 4 11 4 2 2" xfId="25124" xr:uid="{00000000-0005-0000-0000-00008A010000}"/>
    <cellStyle name="20% - Accent1 4 11 4 3" xfId="7333" xr:uid="{00000000-0005-0000-0000-00008B010000}"/>
    <cellStyle name="20% - Accent1 4 11 4 4" xfId="25123" xr:uid="{00000000-0005-0000-0000-00008C010000}"/>
    <cellStyle name="20% - Accent1 4 11 5" xfId="4237" xr:uid="{00000000-0005-0000-0000-00008D010000}"/>
    <cellStyle name="20% - Accent1 4 11 5 2" xfId="5933" xr:uid="{00000000-0005-0000-0000-00008E010000}"/>
    <cellStyle name="20% - Accent1 4 11 5 2 2" xfId="7335" xr:uid="{00000000-0005-0000-0000-00008F010000}"/>
    <cellStyle name="20% - Accent1 4 11 5 2 2 2" xfId="25127" xr:uid="{00000000-0005-0000-0000-000090010000}"/>
    <cellStyle name="20% - Accent1 4 11 5 2 3" xfId="25126" xr:uid="{00000000-0005-0000-0000-000091010000}"/>
    <cellStyle name="20% - Accent1 4 11 5 2 4" xfId="28186" xr:uid="{00000000-0005-0000-0000-000092010000}"/>
    <cellStyle name="20% - Accent1 4 11 5 3" xfId="7336" xr:uid="{00000000-0005-0000-0000-000093010000}"/>
    <cellStyle name="20% - Accent1 4 11 5 3 2" xfId="25128" xr:uid="{00000000-0005-0000-0000-000094010000}"/>
    <cellStyle name="20% - Accent1 4 11 5 3 3" xfId="28187" xr:uid="{00000000-0005-0000-0000-000095010000}"/>
    <cellStyle name="20% - Accent1 4 11 5 4" xfId="7334" xr:uid="{00000000-0005-0000-0000-000096010000}"/>
    <cellStyle name="20% - Accent1 4 11 5 4 2" xfId="25129" xr:uid="{00000000-0005-0000-0000-000097010000}"/>
    <cellStyle name="20% - Accent1 4 11 5 5" xfId="25125" xr:uid="{00000000-0005-0000-0000-000098010000}"/>
    <cellStyle name="20% - Accent1 4 11 5 6" xfId="28185" xr:uid="{00000000-0005-0000-0000-000099010000}"/>
    <cellStyle name="20% - Accent1 4 11 6" xfId="5926" xr:uid="{00000000-0005-0000-0000-00009A010000}"/>
    <cellStyle name="20% - Accent1 4 11 6 2" xfId="7337" xr:uid="{00000000-0005-0000-0000-00009B010000}"/>
    <cellStyle name="20% - Accent1 4 11 6 2 2" xfId="25131" xr:uid="{00000000-0005-0000-0000-00009C010000}"/>
    <cellStyle name="20% - Accent1 4 11 6 3" xfId="25130" xr:uid="{00000000-0005-0000-0000-00009D010000}"/>
    <cellStyle name="20% - Accent1 4 11 6 4" xfId="28188" xr:uid="{00000000-0005-0000-0000-00009E010000}"/>
    <cellStyle name="20% - Accent1 4 11 7" xfId="7338" xr:uid="{00000000-0005-0000-0000-00009F010000}"/>
    <cellStyle name="20% - Accent1 4 11 7 2" xfId="25132" xr:uid="{00000000-0005-0000-0000-0000A0010000}"/>
    <cellStyle name="20% - Accent1 4 11 7 3" xfId="28189" xr:uid="{00000000-0005-0000-0000-0000A1010000}"/>
    <cellStyle name="20% - Accent1 4 11 8" xfId="7329" xr:uid="{00000000-0005-0000-0000-0000A2010000}"/>
    <cellStyle name="20% - Accent1 4 11 8 2" xfId="25133" xr:uid="{00000000-0005-0000-0000-0000A3010000}"/>
    <cellStyle name="20% - Accent1 4 11 9" xfId="24876" xr:uid="{00000000-0005-0000-0000-0000A4010000}"/>
    <cellStyle name="20% - Accent1 4 12" xfId="4239" xr:uid="{00000000-0005-0000-0000-0000A5010000}"/>
    <cellStyle name="20% - Accent1 4 12 2" xfId="5307" xr:uid="{00000000-0005-0000-0000-0000A6010000}"/>
    <cellStyle name="20% - Accent1 4 12 2 2" xfId="5935" xr:uid="{00000000-0005-0000-0000-0000A7010000}"/>
    <cellStyle name="20% - Accent1 4 12 2 2 2" xfId="25136" xr:uid="{00000000-0005-0000-0000-0000A8010000}"/>
    <cellStyle name="20% - Accent1 4 12 2 3" xfId="7340" xr:uid="{00000000-0005-0000-0000-0000A9010000}"/>
    <cellStyle name="20% - Accent1 4 12 2 4" xfId="25135" xr:uid="{00000000-0005-0000-0000-0000AA010000}"/>
    <cellStyle name="20% - Accent1 4 12 3" xfId="5617" xr:uid="{00000000-0005-0000-0000-0000AB010000}"/>
    <cellStyle name="20% - Accent1 4 12 3 2" xfId="5936" xr:uid="{00000000-0005-0000-0000-0000AC010000}"/>
    <cellStyle name="20% - Accent1 4 12 3 2 2" xfId="25138" xr:uid="{00000000-0005-0000-0000-0000AD010000}"/>
    <cellStyle name="20% - Accent1 4 12 3 3" xfId="7341" xr:uid="{00000000-0005-0000-0000-0000AE010000}"/>
    <cellStyle name="20% - Accent1 4 12 3 4" xfId="25137" xr:uid="{00000000-0005-0000-0000-0000AF010000}"/>
    <cellStyle name="20% - Accent1 4 12 4" xfId="5934" xr:uid="{00000000-0005-0000-0000-0000B0010000}"/>
    <cellStyle name="20% - Accent1 4 12 4 2" xfId="7342" xr:uid="{00000000-0005-0000-0000-0000B1010000}"/>
    <cellStyle name="20% - Accent1 4 12 4 3" xfId="25139" xr:uid="{00000000-0005-0000-0000-0000B2010000}"/>
    <cellStyle name="20% - Accent1 4 12 5" xfId="7339" xr:uid="{00000000-0005-0000-0000-0000B3010000}"/>
    <cellStyle name="20% - Accent1 4 12 5 2" xfId="25140" xr:uid="{00000000-0005-0000-0000-0000B4010000}"/>
    <cellStyle name="20% - Accent1 4 12 6" xfId="25134" xr:uid="{00000000-0005-0000-0000-0000B5010000}"/>
    <cellStyle name="20% - Accent1 4 12 7" xfId="28190" xr:uid="{00000000-0005-0000-0000-0000B6010000}"/>
    <cellStyle name="20% - Accent1 4 13" xfId="5304" xr:uid="{00000000-0005-0000-0000-0000B7010000}"/>
    <cellStyle name="20% - Accent1 4 13 2" xfId="5937" xr:uid="{00000000-0005-0000-0000-0000B8010000}"/>
    <cellStyle name="20% - Accent1 4 13 2 2" xfId="7344" xr:uid="{00000000-0005-0000-0000-0000B9010000}"/>
    <cellStyle name="20% - Accent1 4 13 2 3" xfId="25142" xr:uid="{00000000-0005-0000-0000-0000BA010000}"/>
    <cellStyle name="20% - Accent1 4 13 3" xfId="7345" xr:uid="{00000000-0005-0000-0000-0000BB010000}"/>
    <cellStyle name="20% - Accent1 4 13 4" xfId="7343" xr:uid="{00000000-0005-0000-0000-0000BC010000}"/>
    <cellStyle name="20% - Accent1 4 13 5" xfId="25141" xr:uid="{00000000-0005-0000-0000-0000BD010000}"/>
    <cellStyle name="20% - Accent1 4 14" xfId="5614" xr:uid="{00000000-0005-0000-0000-0000BE010000}"/>
    <cellStyle name="20% - Accent1 4 14 2" xfId="5938" xr:uid="{00000000-0005-0000-0000-0000BF010000}"/>
    <cellStyle name="20% - Accent1 4 14 2 2" xfId="25144" xr:uid="{00000000-0005-0000-0000-0000C0010000}"/>
    <cellStyle name="20% - Accent1 4 14 3" xfId="7346" xr:uid="{00000000-0005-0000-0000-0000C1010000}"/>
    <cellStyle name="20% - Accent1 4 14 4" xfId="25143" xr:uid="{00000000-0005-0000-0000-0000C2010000}"/>
    <cellStyle name="20% - Accent1 4 15" xfId="4235" xr:uid="{00000000-0005-0000-0000-0000C3010000}"/>
    <cellStyle name="20% - Accent1 4 15 2" xfId="5939" xr:uid="{00000000-0005-0000-0000-0000C4010000}"/>
    <cellStyle name="20% - Accent1 4 15 2 2" xfId="25146" xr:uid="{00000000-0005-0000-0000-0000C5010000}"/>
    <cellStyle name="20% - Accent1 4 15 3" xfId="7347" xr:uid="{00000000-0005-0000-0000-0000C6010000}"/>
    <cellStyle name="20% - Accent1 4 15 4" xfId="25145" xr:uid="{00000000-0005-0000-0000-0000C7010000}"/>
    <cellStyle name="20% - Accent1 4 16" xfId="7348" xr:uid="{00000000-0005-0000-0000-0000C8010000}"/>
    <cellStyle name="20% - Accent1 4 17" xfId="7349" xr:uid="{00000000-0005-0000-0000-0000C9010000}"/>
    <cellStyle name="20% - Accent1 4 17 2" xfId="7350" xr:uid="{00000000-0005-0000-0000-0000CA010000}"/>
    <cellStyle name="20% - Accent1 4 17 2 2" xfId="25148" xr:uid="{00000000-0005-0000-0000-0000CB010000}"/>
    <cellStyle name="20% - Accent1 4 17 2 3" xfId="28192" xr:uid="{00000000-0005-0000-0000-0000CC010000}"/>
    <cellStyle name="20% - Accent1 4 17 3" xfId="7351" xr:uid="{00000000-0005-0000-0000-0000CD010000}"/>
    <cellStyle name="20% - Accent1 4 17 3 2" xfId="25149" xr:uid="{00000000-0005-0000-0000-0000CE010000}"/>
    <cellStyle name="20% - Accent1 4 17 3 3" xfId="28193" xr:uid="{00000000-0005-0000-0000-0000CF010000}"/>
    <cellStyle name="20% - Accent1 4 17 4" xfId="25147" xr:uid="{00000000-0005-0000-0000-0000D0010000}"/>
    <cellStyle name="20% - Accent1 4 17 5" xfId="28191" xr:uid="{00000000-0005-0000-0000-0000D1010000}"/>
    <cellStyle name="20% - Accent1 4 18" xfId="7352" xr:uid="{00000000-0005-0000-0000-0000D2010000}"/>
    <cellStyle name="20% - Accent1 4 18 2" xfId="25150" xr:uid="{00000000-0005-0000-0000-0000D3010000}"/>
    <cellStyle name="20% - Accent1 4 18 3" xfId="28194" xr:uid="{00000000-0005-0000-0000-0000D4010000}"/>
    <cellStyle name="20% - Accent1 4 19" xfId="7353" xr:uid="{00000000-0005-0000-0000-0000D5010000}"/>
    <cellStyle name="20% - Accent1 4 19 2" xfId="25151" xr:uid="{00000000-0005-0000-0000-0000D6010000}"/>
    <cellStyle name="20% - Accent1 4 19 3" xfId="28195" xr:uid="{00000000-0005-0000-0000-0000D7010000}"/>
    <cellStyle name="20% - Accent1 4 2" xfId="1493" xr:uid="{00000000-0005-0000-0000-0000D8010000}"/>
    <cellStyle name="20% - Accent1 4 2 10" xfId="7354" xr:uid="{00000000-0005-0000-0000-0000D9010000}"/>
    <cellStyle name="20% - Accent1 4 2 10 2" xfId="7355" xr:uid="{00000000-0005-0000-0000-0000DA010000}"/>
    <cellStyle name="20% - Accent1 4 2 10 3" xfId="7356" xr:uid="{00000000-0005-0000-0000-0000DB010000}"/>
    <cellStyle name="20% - Accent1 4 2 11" xfId="7357" xr:uid="{00000000-0005-0000-0000-0000DC010000}"/>
    <cellStyle name="20% - Accent1 4 2 11 2" xfId="7358" xr:uid="{00000000-0005-0000-0000-0000DD010000}"/>
    <cellStyle name="20% - Accent1 4 2 11 3" xfId="7359" xr:uid="{00000000-0005-0000-0000-0000DE010000}"/>
    <cellStyle name="20% - Accent1 4 2 12" xfId="7360" xr:uid="{00000000-0005-0000-0000-0000DF010000}"/>
    <cellStyle name="20% - Accent1 4 2 12 2" xfId="7361" xr:uid="{00000000-0005-0000-0000-0000E0010000}"/>
    <cellStyle name="20% - Accent1 4 2 12 3" xfId="7362" xr:uid="{00000000-0005-0000-0000-0000E1010000}"/>
    <cellStyle name="20% - Accent1 4 2 13" xfId="7363" xr:uid="{00000000-0005-0000-0000-0000E2010000}"/>
    <cellStyle name="20% - Accent1 4 2 14" xfId="7364" xr:uid="{00000000-0005-0000-0000-0000E3010000}"/>
    <cellStyle name="20% - Accent1 4 2 15" xfId="7365" xr:uid="{00000000-0005-0000-0000-0000E4010000}"/>
    <cellStyle name="20% - Accent1 4 2 16" xfId="7366" xr:uid="{00000000-0005-0000-0000-0000E5010000}"/>
    <cellStyle name="20% - Accent1 4 2 2" xfId="4240" xr:uid="{00000000-0005-0000-0000-0000E6010000}"/>
    <cellStyle name="20% - Accent1 4 2 2 2" xfId="7368" xr:uid="{00000000-0005-0000-0000-0000E7010000}"/>
    <cellStyle name="20% - Accent1 4 2 2 3" xfId="7369" xr:uid="{00000000-0005-0000-0000-0000E8010000}"/>
    <cellStyle name="20% - Accent1 4 2 2 4" xfId="7367" xr:uid="{00000000-0005-0000-0000-0000E9010000}"/>
    <cellStyle name="20% - Accent1 4 2 3" xfId="7370" xr:uid="{00000000-0005-0000-0000-0000EA010000}"/>
    <cellStyle name="20% - Accent1 4 2 3 2" xfId="7371" xr:uid="{00000000-0005-0000-0000-0000EB010000}"/>
    <cellStyle name="20% - Accent1 4 2 3 3" xfId="7372" xr:uid="{00000000-0005-0000-0000-0000EC010000}"/>
    <cellStyle name="20% - Accent1 4 2 4" xfId="7373" xr:uid="{00000000-0005-0000-0000-0000ED010000}"/>
    <cellStyle name="20% - Accent1 4 2 4 2" xfId="7374" xr:uid="{00000000-0005-0000-0000-0000EE010000}"/>
    <cellStyle name="20% - Accent1 4 2 4 3" xfId="7375" xr:uid="{00000000-0005-0000-0000-0000EF010000}"/>
    <cellStyle name="20% - Accent1 4 2 5" xfId="7376" xr:uid="{00000000-0005-0000-0000-0000F0010000}"/>
    <cellStyle name="20% - Accent1 4 2 5 2" xfId="7377" xr:uid="{00000000-0005-0000-0000-0000F1010000}"/>
    <cellStyle name="20% - Accent1 4 2 5 3" xfId="7378" xr:uid="{00000000-0005-0000-0000-0000F2010000}"/>
    <cellStyle name="20% - Accent1 4 2 6" xfId="7379" xr:uid="{00000000-0005-0000-0000-0000F3010000}"/>
    <cellStyle name="20% - Accent1 4 2 6 2" xfId="7380" xr:uid="{00000000-0005-0000-0000-0000F4010000}"/>
    <cellStyle name="20% - Accent1 4 2 6 3" xfId="7381" xr:uid="{00000000-0005-0000-0000-0000F5010000}"/>
    <cellStyle name="20% - Accent1 4 2 7" xfId="7382" xr:uid="{00000000-0005-0000-0000-0000F6010000}"/>
    <cellStyle name="20% - Accent1 4 2 7 2" xfId="7383" xr:uid="{00000000-0005-0000-0000-0000F7010000}"/>
    <cellStyle name="20% - Accent1 4 2 7 3" xfId="7384" xr:uid="{00000000-0005-0000-0000-0000F8010000}"/>
    <cellStyle name="20% - Accent1 4 2 8" xfId="7385" xr:uid="{00000000-0005-0000-0000-0000F9010000}"/>
    <cellStyle name="20% - Accent1 4 2 8 2" xfId="7386" xr:uid="{00000000-0005-0000-0000-0000FA010000}"/>
    <cellStyle name="20% - Accent1 4 2 8 3" xfId="7387" xr:uid="{00000000-0005-0000-0000-0000FB010000}"/>
    <cellStyle name="20% - Accent1 4 2 9" xfId="7388" xr:uid="{00000000-0005-0000-0000-0000FC010000}"/>
    <cellStyle name="20% - Accent1 4 2 9 2" xfId="7389" xr:uid="{00000000-0005-0000-0000-0000FD010000}"/>
    <cellStyle name="20% - Accent1 4 2 9 3" xfId="7390" xr:uid="{00000000-0005-0000-0000-0000FE010000}"/>
    <cellStyle name="20% - Accent1 4 20" xfId="7324" xr:uid="{00000000-0005-0000-0000-0000FF010000}"/>
    <cellStyle name="20% - Accent1 4 20 2" xfId="25152" xr:uid="{00000000-0005-0000-0000-000000020000}"/>
    <cellStyle name="20% - Accent1 4 21" xfId="28182" xr:uid="{00000000-0005-0000-0000-000001020000}"/>
    <cellStyle name="20% - Accent1 4 3" xfId="1618" xr:uid="{00000000-0005-0000-0000-000002020000}"/>
    <cellStyle name="20% - Accent1 4 3 2" xfId="4241" xr:uid="{00000000-0005-0000-0000-000003020000}"/>
    <cellStyle name="20% - Accent1 4 3 2 2" xfId="7391" xr:uid="{00000000-0005-0000-0000-000004020000}"/>
    <cellStyle name="20% - Accent1 4 3 3" xfId="7392" xr:uid="{00000000-0005-0000-0000-000005020000}"/>
    <cellStyle name="20% - Accent1 4 3 4" xfId="7393" xr:uid="{00000000-0005-0000-0000-000006020000}"/>
    <cellStyle name="20% - Accent1 4 3 5" xfId="7394" xr:uid="{00000000-0005-0000-0000-000007020000}"/>
    <cellStyle name="20% - Accent1 4 4" xfId="1804" xr:uid="{00000000-0005-0000-0000-000008020000}"/>
    <cellStyle name="20% - Accent1 4 4 2" xfId="7395" xr:uid="{00000000-0005-0000-0000-000009020000}"/>
    <cellStyle name="20% - Accent1 4 4 3" xfId="7396" xr:uid="{00000000-0005-0000-0000-00000A020000}"/>
    <cellStyle name="20% - Accent1 4 4 4" xfId="7397" xr:uid="{00000000-0005-0000-0000-00000B020000}"/>
    <cellStyle name="20% - Accent1 4 5" xfId="2140" xr:uid="{00000000-0005-0000-0000-00000C020000}"/>
    <cellStyle name="20% - Accent1 4 5 2" xfId="7398" xr:uid="{00000000-0005-0000-0000-00000D020000}"/>
    <cellStyle name="20% - Accent1 4 5 3" xfId="7399" xr:uid="{00000000-0005-0000-0000-00000E020000}"/>
    <cellStyle name="20% - Accent1 4 5 4" xfId="7400" xr:uid="{00000000-0005-0000-0000-00000F020000}"/>
    <cellStyle name="20% - Accent1 4 6" xfId="2514" xr:uid="{00000000-0005-0000-0000-000010020000}"/>
    <cellStyle name="20% - Accent1 4 6 2" xfId="7401" xr:uid="{00000000-0005-0000-0000-000011020000}"/>
    <cellStyle name="20% - Accent1 4 6 3" xfId="7402" xr:uid="{00000000-0005-0000-0000-000012020000}"/>
    <cellStyle name="20% - Accent1 4 6 4" xfId="7403" xr:uid="{00000000-0005-0000-0000-000013020000}"/>
    <cellStyle name="20% - Accent1 4 7" xfId="2886" xr:uid="{00000000-0005-0000-0000-000014020000}"/>
    <cellStyle name="20% - Accent1 4 7 2" xfId="7404" xr:uid="{00000000-0005-0000-0000-000015020000}"/>
    <cellStyle name="20% - Accent1 4 7 3" xfId="7405" xr:uid="{00000000-0005-0000-0000-000016020000}"/>
    <cellStyle name="20% - Accent1 4 7 4" xfId="7406" xr:uid="{00000000-0005-0000-0000-000017020000}"/>
    <cellStyle name="20% - Accent1 4 8" xfId="3257" xr:uid="{00000000-0005-0000-0000-000018020000}"/>
    <cellStyle name="20% - Accent1 4 8 2" xfId="7407" xr:uid="{00000000-0005-0000-0000-000019020000}"/>
    <cellStyle name="20% - Accent1 4 8 3" xfId="7408" xr:uid="{00000000-0005-0000-0000-00001A020000}"/>
    <cellStyle name="20% - Accent1 4 8 4" xfId="7409" xr:uid="{00000000-0005-0000-0000-00001B020000}"/>
    <cellStyle name="20% - Accent1 4 9" xfId="3582" xr:uid="{00000000-0005-0000-0000-00001C020000}"/>
    <cellStyle name="20% - Accent1 4 9 2" xfId="4242" xr:uid="{00000000-0005-0000-0000-00001D020000}"/>
    <cellStyle name="20% - Accent1 4 9 2 2" xfId="7410" xr:uid="{00000000-0005-0000-0000-00001E020000}"/>
    <cellStyle name="20% - Accent1 4 9 3" xfId="7411" xr:uid="{00000000-0005-0000-0000-00001F020000}"/>
    <cellStyle name="20% - Accent1 4 9 4" xfId="7412" xr:uid="{00000000-0005-0000-0000-000020020000}"/>
    <cellStyle name="20% - Accent1 4 9 5" xfId="7413" xr:uid="{00000000-0005-0000-0000-000021020000}"/>
    <cellStyle name="20% - Accent1 5" xfId="359" xr:uid="{00000000-0005-0000-0000-000022020000}"/>
    <cellStyle name="20% - Accent1 5 10" xfId="7414" xr:uid="{00000000-0005-0000-0000-000023020000}"/>
    <cellStyle name="20% - Accent1 5 10 2" xfId="7415" xr:uid="{00000000-0005-0000-0000-000024020000}"/>
    <cellStyle name="20% - Accent1 5 10 3" xfId="7416" xr:uid="{00000000-0005-0000-0000-000025020000}"/>
    <cellStyle name="20% - Accent1 5 11" xfId="7417" xr:uid="{00000000-0005-0000-0000-000026020000}"/>
    <cellStyle name="20% - Accent1 5 11 2" xfId="7418" xr:uid="{00000000-0005-0000-0000-000027020000}"/>
    <cellStyle name="20% - Accent1 5 11 3" xfId="7419" xr:uid="{00000000-0005-0000-0000-000028020000}"/>
    <cellStyle name="20% - Accent1 5 12" xfId="7420" xr:uid="{00000000-0005-0000-0000-000029020000}"/>
    <cellStyle name="20% - Accent1 5 12 2" xfId="7421" xr:uid="{00000000-0005-0000-0000-00002A020000}"/>
    <cellStyle name="20% - Accent1 5 12 3" xfId="7422" xr:uid="{00000000-0005-0000-0000-00002B020000}"/>
    <cellStyle name="20% - Accent1 5 13" xfId="7423" xr:uid="{00000000-0005-0000-0000-00002C020000}"/>
    <cellStyle name="20% - Accent1 5 13 2" xfId="7424" xr:uid="{00000000-0005-0000-0000-00002D020000}"/>
    <cellStyle name="20% - Accent1 5 13 3" xfId="7425" xr:uid="{00000000-0005-0000-0000-00002E020000}"/>
    <cellStyle name="20% - Accent1 5 14" xfId="7426" xr:uid="{00000000-0005-0000-0000-00002F020000}"/>
    <cellStyle name="20% - Accent1 5 15" xfId="7427" xr:uid="{00000000-0005-0000-0000-000030020000}"/>
    <cellStyle name="20% - Accent1 5 16" xfId="7428" xr:uid="{00000000-0005-0000-0000-000031020000}"/>
    <cellStyle name="20% - Accent1 5 17" xfId="7429" xr:uid="{00000000-0005-0000-0000-000032020000}"/>
    <cellStyle name="20% - Accent1 5 2" xfId="1867" xr:uid="{00000000-0005-0000-0000-000033020000}"/>
    <cellStyle name="20% - Accent1 5 2 10" xfId="7430" xr:uid="{00000000-0005-0000-0000-000034020000}"/>
    <cellStyle name="20% - Accent1 5 2 10 2" xfId="7431" xr:uid="{00000000-0005-0000-0000-000035020000}"/>
    <cellStyle name="20% - Accent1 5 2 10 3" xfId="7432" xr:uid="{00000000-0005-0000-0000-000036020000}"/>
    <cellStyle name="20% - Accent1 5 2 11" xfId="7433" xr:uid="{00000000-0005-0000-0000-000037020000}"/>
    <cellStyle name="20% - Accent1 5 2 11 2" xfId="7434" xr:uid="{00000000-0005-0000-0000-000038020000}"/>
    <cellStyle name="20% - Accent1 5 2 11 3" xfId="7435" xr:uid="{00000000-0005-0000-0000-000039020000}"/>
    <cellStyle name="20% - Accent1 5 2 12" xfId="7436" xr:uid="{00000000-0005-0000-0000-00003A020000}"/>
    <cellStyle name="20% - Accent1 5 2 12 2" xfId="7437" xr:uid="{00000000-0005-0000-0000-00003B020000}"/>
    <cellStyle name="20% - Accent1 5 2 12 3" xfId="7438" xr:uid="{00000000-0005-0000-0000-00003C020000}"/>
    <cellStyle name="20% - Accent1 5 2 13" xfId="7439" xr:uid="{00000000-0005-0000-0000-00003D020000}"/>
    <cellStyle name="20% - Accent1 5 2 14" xfId="7440" xr:uid="{00000000-0005-0000-0000-00003E020000}"/>
    <cellStyle name="20% - Accent1 5 2 15" xfId="7441" xr:uid="{00000000-0005-0000-0000-00003F020000}"/>
    <cellStyle name="20% - Accent1 5 2 2" xfId="7442" xr:uid="{00000000-0005-0000-0000-000040020000}"/>
    <cellStyle name="20% - Accent1 5 2 2 2" xfId="7443" xr:uid="{00000000-0005-0000-0000-000041020000}"/>
    <cellStyle name="20% - Accent1 5 2 2 3" xfId="7444" xr:uid="{00000000-0005-0000-0000-000042020000}"/>
    <cellStyle name="20% - Accent1 5 2 3" xfId="7445" xr:uid="{00000000-0005-0000-0000-000043020000}"/>
    <cellStyle name="20% - Accent1 5 2 3 2" xfId="7446" xr:uid="{00000000-0005-0000-0000-000044020000}"/>
    <cellStyle name="20% - Accent1 5 2 3 3" xfId="7447" xr:uid="{00000000-0005-0000-0000-000045020000}"/>
    <cellStyle name="20% - Accent1 5 2 4" xfId="7448" xr:uid="{00000000-0005-0000-0000-000046020000}"/>
    <cellStyle name="20% - Accent1 5 2 4 2" xfId="7449" xr:uid="{00000000-0005-0000-0000-000047020000}"/>
    <cellStyle name="20% - Accent1 5 2 4 3" xfId="7450" xr:uid="{00000000-0005-0000-0000-000048020000}"/>
    <cellStyle name="20% - Accent1 5 2 5" xfId="7451" xr:uid="{00000000-0005-0000-0000-000049020000}"/>
    <cellStyle name="20% - Accent1 5 2 5 2" xfId="7452" xr:uid="{00000000-0005-0000-0000-00004A020000}"/>
    <cellStyle name="20% - Accent1 5 2 5 3" xfId="7453" xr:uid="{00000000-0005-0000-0000-00004B020000}"/>
    <cellStyle name="20% - Accent1 5 2 6" xfId="7454" xr:uid="{00000000-0005-0000-0000-00004C020000}"/>
    <cellStyle name="20% - Accent1 5 2 6 2" xfId="7455" xr:uid="{00000000-0005-0000-0000-00004D020000}"/>
    <cellStyle name="20% - Accent1 5 2 6 3" xfId="7456" xr:uid="{00000000-0005-0000-0000-00004E020000}"/>
    <cellStyle name="20% - Accent1 5 2 7" xfId="7457" xr:uid="{00000000-0005-0000-0000-00004F020000}"/>
    <cellStyle name="20% - Accent1 5 2 7 2" xfId="7458" xr:uid="{00000000-0005-0000-0000-000050020000}"/>
    <cellStyle name="20% - Accent1 5 2 7 3" xfId="7459" xr:uid="{00000000-0005-0000-0000-000051020000}"/>
    <cellStyle name="20% - Accent1 5 2 8" xfId="7460" xr:uid="{00000000-0005-0000-0000-000052020000}"/>
    <cellStyle name="20% - Accent1 5 2 8 2" xfId="7461" xr:uid="{00000000-0005-0000-0000-000053020000}"/>
    <cellStyle name="20% - Accent1 5 2 8 3" xfId="7462" xr:uid="{00000000-0005-0000-0000-000054020000}"/>
    <cellStyle name="20% - Accent1 5 2 9" xfId="7463" xr:uid="{00000000-0005-0000-0000-000055020000}"/>
    <cellStyle name="20% - Accent1 5 2 9 2" xfId="7464" xr:uid="{00000000-0005-0000-0000-000056020000}"/>
    <cellStyle name="20% - Accent1 5 2 9 3" xfId="7465" xr:uid="{00000000-0005-0000-0000-000057020000}"/>
    <cellStyle name="20% - Accent1 5 3" xfId="2242" xr:uid="{00000000-0005-0000-0000-000058020000}"/>
    <cellStyle name="20% - Accent1 5 3 2" xfId="7466" xr:uid="{00000000-0005-0000-0000-000059020000}"/>
    <cellStyle name="20% - Accent1 5 3 3" xfId="7467" xr:uid="{00000000-0005-0000-0000-00005A020000}"/>
    <cellStyle name="20% - Accent1 5 3 4" xfId="7468" xr:uid="{00000000-0005-0000-0000-00005B020000}"/>
    <cellStyle name="20% - Accent1 5 4" xfId="2616" xr:uid="{00000000-0005-0000-0000-00005C020000}"/>
    <cellStyle name="20% - Accent1 5 4 2" xfId="7469" xr:uid="{00000000-0005-0000-0000-00005D020000}"/>
    <cellStyle name="20% - Accent1 5 4 3" xfId="7470" xr:uid="{00000000-0005-0000-0000-00005E020000}"/>
    <cellStyle name="20% - Accent1 5 4 4" xfId="7471" xr:uid="{00000000-0005-0000-0000-00005F020000}"/>
    <cellStyle name="20% - Accent1 5 5" xfId="2988" xr:uid="{00000000-0005-0000-0000-000060020000}"/>
    <cellStyle name="20% - Accent1 5 5 2" xfId="7472" xr:uid="{00000000-0005-0000-0000-000061020000}"/>
    <cellStyle name="20% - Accent1 5 5 3" xfId="7473" xr:uid="{00000000-0005-0000-0000-000062020000}"/>
    <cellStyle name="20% - Accent1 5 5 4" xfId="7474" xr:uid="{00000000-0005-0000-0000-000063020000}"/>
    <cellStyle name="20% - Accent1 5 6" xfId="3360" xr:uid="{00000000-0005-0000-0000-000064020000}"/>
    <cellStyle name="20% - Accent1 5 6 2" xfId="7475" xr:uid="{00000000-0005-0000-0000-000065020000}"/>
    <cellStyle name="20% - Accent1 5 6 3" xfId="7476" xr:uid="{00000000-0005-0000-0000-000066020000}"/>
    <cellStyle name="20% - Accent1 5 6 4" xfId="7477" xr:uid="{00000000-0005-0000-0000-000067020000}"/>
    <cellStyle name="20% - Accent1 5 7" xfId="4243" xr:uid="{00000000-0005-0000-0000-000068020000}"/>
    <cellStyle name="20% - Accent1 5 7 2" xfId="7479" xr:uid="{00000000-0005-0000-0000-000069020000}"/>
    <cellStyle name="20% - Accent1 5 7 3" xfId="7480" xr:uid="{00000000-0005-0000-0000-00006A020000}"/>
    <cellStyle name="20% - Accent1 5 7 4" xfId="7478" xr:uid="{00000000-0005-0000-0000-00006B020000}"/>
    <cellStyle name="20% - Accent1 5 8" xfId="7481" xr:uid="{00000000-0005-0000-0000-00006C020000}"/>
    <cellStyle name="20% - Accent1 5 8 2" xfId="7482" xr:uid="{00000000-0005-0000-0000-00006D020000}"/>
    <cellStyle name="20% - Accent1 5 8 3" xfId="7483" xr:uid="{00000000-0005-0000-0000-00006E020000}"/>
    <cellStyle name="20% - Accent1 5 9" xfId="7484" xr:uid="{00000000-0005-0000-0000-00006F020000}"/>
    <cellStyle name="20% - Accent1 5 9 2" xfId="7485" xr:uid="{00000000-0005-0000-0000-000070020000}"/>
    <cellStyle name="20% - Accent1 5 9 3" xfId="7486" xr:uid="{00000000-0005-0000-0000-000071020000}"/>
    <cellStyle name="20% - Accent1 6" xfId="360" xr:uid="{00000000-0005-0000-0000-000072020000}"/>
    <cellStyle name="20% - Accent1 6 10" xfId="5308" xr:uid="{00000000-0005-0000-0000-000073020000}"/>
    <cellStyle name="20% - Accent1 6 10 2" xfId="5941" xr:uid="{00000000-0005-0000-0000-000074020000}"/>
    <cellStyle name="20% - Accent1 6 10 2 2" xfId="7489" xr:uid="{00000000-0005-0000-0000-000075020000}"/>
    <cellStyle name="20% - Accent1 6 10 2 3" xfId="25155" xr:uid="{00000000-0005-0000-0000-000076020000}"/>
    <cellStyle name="20% - Accent1 6 10 3" xfId="7490" xr:uid="{00000000-0005-0000-0000-000077020000}"/>
    <cellStyle name="20% - Accent1 6 10 4" xfId="7488" xr:uid="{00000000-0005-0000-0000-000078020000}"/>
    <cellStyle name="20% - Accent1 6 10 5" xfId="25154" xr:uid="{00000000-0005-0000-0000-000079020000}"/>
    <cellStyle name="20% - Accent1 6 11" xfId="5618" xr:uid="{00000000-0005-0000-0000-00007A020000}"/>
    <cellStyle name="20% - Accent1 6 11 2" xfId="5942" xr:uid="{00000000-0005-0000-0000-00007B020000}"/>
    <cellStyle name="20% - Accent1 6 11 2 2" xfId="7492" xr:uid="{00000000-0005-0000-0000-00007C020000}"/>
    <cellStyle name="20% - Accent1 6 11 2 3" xfId="25157" xr:uid="{00000000-0005-0000-0000-00007D020000}"/>
    <cellStyle name="20% - Accent1 6 11 3" xfId="7493" xr:uid="{00000000-0005-0000-0000-00007E020000}"/>
    <cellStyle name="20% - Accent1 6 11 4" xfId="7491" xr:uid="{00000000-0005-0000-0000-00007F020000}"/>
    <cellStyle name="20% - Accent1 6 11 5" xfId="25156" xr:uid="{00000000-0005-0000-0000-000080020000}"/>
    <cellStyle name="20% - Accent1 6 12" xfId="4244" xr:uid="{00000000-0005-0000-0000-000081020000}"/>
    <cellStyle name="20% - Accent1 6 12 2" xfId="5943" xr:uid="{00000000-0005-0000-0000-000082020000}"/>
    <cellStyle name="20% - Accent1 6 12 2 2" xfId="7495" xr:uid="{00000000-0005-0000-0000-000083020000}"/>
    <cellStyle name="20% - Accent1 6 12 2 3" xfId="25159" xr:uid="{00000000-0005-0000-0000-000084020000}"/>
    <cellStyle name="20% - Accent1 6 12 3" xfId="7496" xr:uid="{00000000-0005-0000-0000-000085020000}"/>
    <cellStyle name="20% - Accent1 6 12 4" xfId="7494" xr:uid="{00000000-0005-0000-0000-000086020000}"/>
    <cellStyle name="20% - Accent1 6 12 5" xfId="25158" xr:uid="{00000000-0005-0000-0000-000087020000}"/>
    <cellStyle name="20% - Accent1 6 13" xfId="5940" xr:uid="{00000000-0005-0000-0000-000088020000}"/>
    <cellStyle name="20% - Accent1 6 13 2" xfId="7497" xr:uid="{00000000-0005-0000-0000-000089020000}"/>
    <cellStyle name="20% - Accent1 6 13 3" xfId="25160" xr:uid="{00000000-0005-0000-0000-00008A020000}"/>
    <cellStyle name="20% - Accent1 6 14" xfId="7498" xr:uid="{00000000-0005-0000-0000-00008B020000}"/>
    <cellStyle name="20% - Accent1 6 15" xfId="7499" xr:uid="{00000000-0005-0000-0000-00008C020000}"/>
    <cellStyle name="20% - Accent1 6 16" xfId="7500" xr:uid="{00000000-0005-0000-0000-00008D020000}"/>
    <cellStyle name="20% - Accent1 6 16 2" xfId="7501" xr:uid="{00000000-0005-0000-0000-00008E020000}"/>
    <cellStyle name="20% - Accent1 6 16 2 2" xfId="25162" xr:uid="{00000000-0005-0000-0000-00008F020000}"/>
    <cellStyle name="20% - Accent1 6 16 2 3" xfId="28198" xr:uid="{00000000-0005-0000-0000-000090020000}"/>
    <cellStyle name="20% - Accent1 6 16 3" xfId="7502" xr:uid="{00000000-0005-0000-0000-000091020000}"/>
    <cellStyle name="20% - Accent1 6 16 3 2" xfId="25163" xr:uid="{00000000-0005-0000-0000-000092020000}"/>
    <cellStyle name="20% - Accent1 6 16 3 3" xfId="28199" xr:uid="{00000000-0005-0000-0000-000093020000}"/>
    <cellStyle name="20% - Accent1 6 16 4" xfId="25161" xr:uid="{00000000-0005-0000-0000-000094020000}"/>
    <cellStyle name="20% - Accent1 6 16 5" xfId="28197" xr:uid="{00000000-0005-0000-0000-000095020000}"/>
    <cellStyle name="20% - Accent1 6 17" xfId="7503" xr:uid="{00000000-0005-0000-0000-000096020000}"/>
    <cellStyle name="20% - Accent1 6 17 2" xfId="25164" xr:uid="{00000000-0005-0000-0000-000097020000}"/>
    <cellStyle name="20% - Accent1 6 17 3" xfId="28200" xr:uid="{00000000-0005-0000-0000-000098020000}"/>
    <cellStyle name="20% - Accent1 6 18" xfId="7504" xr:uid="{00000000-0005-0000-0000-000099020000}"/>
    <cellStyle name="20% - Accent1 6 18 2" xfId="25165" xr:uid="{00000000-0005-0000-0000-00009A020000}"/>
    <cellStyle name="20% - Accent1 6 18 3" xfId="28201" xr:uid="{00000000-0005-0000-0000-00009B020000}"/>
    <cellStyle name="20% - Accent1 6 19" xfId="7487" xr:uid="{00000000-0005-0000-0000-00009C020000}"/>
    <cellStyle name="20% - Accent1 6 19 2" xfId="25166" xr:uid="{00000000-0005-0000-0000-00009D020000}"/>
    <cellStyle name="20% - Accent1 6 2" xfId="1969" xr:uid="{00000000-0005-0000-0000-00009E020000}"/>
    <cellStyle name="20% - Accent1 6 2 2" xfId="4245" xr:uid="{00000000-0005-0000-0000-00009F020000}"/>
    <cellStyle name="20% - Accent1 6 2 2 2" xfId="7505" xr:uid="{00000000-0005-0000-0000-0000A0020000}"/>
    <cellStyle name="20% - Accent1 6 2 3" xfId="7506" xr:uid="{00000000-0005-0000-0000-0000A1020000}"/>
    <cellStyle name="20% - Accent1 6 2 4" xfId="7507" xr:uid="{00000000-0005-0000-0000-0000A2020000}"/>
    <cellStyle name="20% - Accent1 6 2 5" xfId="7508" xr:uid="{00000000-0005-0000-0000-0000A3020000}"/>
    <cellStyle name="20% - Accent1 6 20" xfId="24831" xr:uid="{00000000-0005-0000-0000-0000A4020000}"/>
    <cellStyle name="20% - Accent1 6 21" xfId="25153" xr:uid="{00000000-0005-0000-0000-0000A5020000}"/>
    <cellStyle name="20% - Accent1 6 22" xfId="28196" xr:uid="{00000000-0005-0000-0000-0000A6020000}"/>
    <cellStyle name="20% - Accent1 6 3" xfId="2344" xr:uid="{00000000-0005-0000-0000-0000A7020000}"/>
    <cellStyle name="20% - Accent1 6 3 2" xfId="4246" xr:uid="{00000000-0005-0000-0000-0000A8020000}"/>
    <cellStyle name="20% - Accent1 6 3 2 2" xfId="7509" xr:uid="{00000000-0005-0000-0000-0000A9020000}"/>
    <cellStyle name="20% - Accent1 6 3 3" xfId="7510" xr:uid="{00000000-0005-0000-0000-0000AA020000}"/>
    <cellStyle name="20% - Accent1 6 3 4" xfId="7511" xr:uid="{00000000-0005-0000-0000-0000AB020000}"/>
    <cellStyle name="20% - Accent1 6 3 5" xfId="7512" xr:uid="{00000000-0005-0000-0000-0000AC020000}"/>
    <cellStyle name="20% - Accent1 6 4" xfId="2717" xr:uid="{00000000-0005-0000-0000-0000AD020000}"/>
    <cellStyle name="20% - Accent1 6 4 2" xfId="4247" xr:uid="{00000000-0005-0000-0000-0000AE020000}"/>
    <cellStyle name="20% - Accent1 6 4 2 2" xfId="7513" xr:uid="{00000000-0005-0000-0000-0000AF020000}"/>
    <cellStyle name="20% - Accent1 6 4 3" xfId="7514" xr:uid="{00000000-0005-0000-0000-0000B0020000}"/>
    <cellStyle name="20% - Accent1 6 4 4" xfId="7515" xr:uid="{00000000-0005-0000-0000-0000B1020000}"/>
    <cellStyle name="20% - Accent1 6 4 5" xfId="7516" xr:uid="{00000000-0005-0000-0000-0000B2020000}"/>
    <cellStyle name="20% - Accent1 6 5" xfId="3090" xr:uid="{00000000-0005-0000-0000-0000B3020000}"/>
    <cellStyle name="20% - Accent1 6 5 2" xfId="4248" xr:uid="{00000000-0005-0000-0000-0000B4020000}"/>
    <cellStyle name="20% - Accent1 6 5 2 2" xfId="7517" xr:uid="{00000000-0005-0000-0000-0000B5020000}"/>
    <cellStyle name="20% - Accent1 6 5 3" xfId="7518" xr:uid="{00000000-0005-0000-0000-0000B6020000}"/>
    <cellStyle name="20% - Accent1 6 5 4" xfId="7519" xr:uid="{00000000-0005-0000-0000-0000B7020000}"/>
    <cellStyle name="20% - Accent1 6 5 5" xfId="7520" xr:uid="{00000000-0005-0000-0000-0000B8020000}"/>
    <cellStyle name="20% - Accent1 6 6" xfId="3461" xr:uid="{00000000-0005-0000-0000-0000B9020000}"/>
    <cellStyle name="20% - Accent1 6 6 2" xfId="4249" xr:uid="{00000000-0005-0000-0000-0000BA020000}"/>
    <cellStyle name="20% - Accent1 6 6 2 2" xfId="7521" xr:uid="{00000000-0005-0000-0000-0000BB020000}"/>
    <cellStyle name="20% - Accent1 6 6 3" xfId="7522" xr:uid="{00000000-0005-0000-0000-0000BC020000}"/>
    <cellStyle name="20% - Accent1 6 6 4" xfId="7523" xr:uid="{00000000-0005-0000-0000-0000BD020000}"/>
    <cellStyle name="20% - Accent1 6 6 5" xfId="7524" xr:uid="{00000000-0005-0000-0000-0000BE020000}"/>
    <cellStyle name="20% - Accent1 6 7" xfId="3767" xr:uid="{00000000-0005-0000-0000-0000BF020000}"/>
    <cellStyle name="20% - Accent1 6 7 2" xfId="4250" xr:uid="{00000000-0005-0000-0000-0000C0020000}"/>
    <cellStyle name="20% - Accent1 6 7 2 2" xfId="7525" xr:uid="{00000000-0005-0000-0000-0000C1020000}"/>
    <cellStyle name="20% - Accent1 6 7 3" xfId="7526" xr:uid="{00000000-0005-0000-0000-0000C2020000}"/>
    <cellStyle name="20% - Accent1 6 7 4" xfId="7527" xr:uid="{00000000-0005-0000-0000-0000C3020000}"/>
    <cellStyle name="20% - Accent1 6 7 5" xfId="7528" xr:uid="{00000000-0005-0000-0000-0000C4020000}"/>
    <cellStyle name="20% - Accent1 6 8" xfId="1357" xr:uid="{00000000-0005-0000-0000-0000C5020000}"/>
    <cellStyle name="20% - Accent1 6 8 10" xfId="25167" xr:uid="{00000000-0005-0000-0000-0000C6020000}"/>
    <cellStyle name="20% - Accent1 6 8 11" xfId="28202" xr:uid="{00000000-0005-0000-0000-0000C7020000}"/>
    <cellStyle name="20% - Accent1 6 8 2" xfId="4157" xr:uid="{00000000-0005-0000-0000-0000C8020000}"/>
    <cellStyle name="20% - Accent1 6 8 2 2" xfId="5310" xr:uid="{00000000-0005-0000-0000-0000C9020000}"/>
    <cellStyle name="20% - Accent1 6 8 2 2 2" xfId="5946" xr:uid="{00000000-0005-0000-0000-0000CA020000}"/>
    <cellStyle name="20% - Accent1 6 8 2 2 2 2" xfId="25170" xr:uid="{00000000-0005-0000-0000-0000CB020000}"/>
    <cellStyle name="20% - Accent1 6 8 2 2 3" xfId="7531" xr:uid="{00000000-0005-0000-0000-0000CC020000}"/>
    <cellStyle name="20% - Accent1 6 8 2 2 4" xfId="25169" xr:uid="{00000000-0005-0000-0000-0000CD020000}"/>
    <cellStyle name="20% - Accent1 6 8 2 3" xfId="5620" xr:uid="{00000000-0005-0000-0000-0000CE020000}"/>
    <cellStyle name="20% - Accent1 6 8 2 3 2" xfId="5947" xr:uid="{00000000-0005-0000-0000-0000CF020000}"/>
    <cellStyle name="20% - Accent1 6 8 2 3 2 2" xfId="25172" xr:uid="{00000000-0005-0000-0000-0000D0020000}"/>
    <cellStyle name="20% - Accent1 6 8 2 3 3" xfId="25171" xr:uid="{00000000-0005-0000-0000-0000D1020000}"/>
    <cellStyle name="20% - Accent1 6 8 2 4" xfId="4252" xr:uid="{00000000-0005-0000-0000-0000D2020000}"/>
    <cellStyle name="20% - Accent1 6 8 2 4 2" xfId="5948" xr:uid="{00000000-0005-0000-0000-0000D3020000}"/>
    <cellStyle name="20% - Accent1 6 8 2 4 2 2" xfId="25174" xr:uid="{00000000-0005-0000-0000-0000D4020000}"/>
    <cellStyle name="20% - Accent1 6 8 2 4 3" xfId="25173" xr:uid="{00000000-0005-0000-0000-0000D5020000}"/>
    <cellStyle name="20% - Accent1 6 8 2 5" xfId="5945" xr:uid="{00000000-0005-0000-0000-0000D6020000}"/>
    <cellStyle name="20% - Accent1 6 8 2 5 2" xfId="25175" xr:uid="{00000000-0005-0000-0000-0000D7020000}"/>
    <cellStyle name="20% - Accent1 6 8 2 6" xfId="7530" xr:uid="{00000000-0005-0000-0000-0000D8020000}"/>
    <cellStyle name="20% - Accent1 6 8 2 6 2" xfId="25176" xr:uid="{00000000-0005-0000-0000-0000D9020000}"/>
    <cellStyle name="20% - Accent1 6 8 2 7" xfId="25009" xr:uid="{00000000-0005-0000-0000-0000DA020000}"/>
    <cellStyle name="20% - Accent1 6 8 2 8" xfId="25168" xr:uid="{00000000-0005-0000-0000-0000DB020000}"/>
    <cellStyle name="20% - Accent1 6 8 2 9" xfId="28203" xr:uid="{00000000-0005-0000-0000-0000DC020000}"/>
    <cellStyle name="20% - Accent1 6 8 3" xfId="5309" xr:uid="{00000000-0005-0000-0000-0000DD020000}"/>
    <cellStyle name="20% - Accent1 6 8 3 2" xfId="5949" xr:uid="{00000000-0005-0000-0000-0000DE020000}"/>
    <cellStyle name="20% - Accent1 6 8 3 2 2" xfId="25178" xr:uid="{00000000-0005-0000-0000-0000DF020000}"/>
    <cellStyle name="20% - Accent1 6 8 3 3" xfId="7532" xr:uid="{00000000-0005-0000-0000-0000E0020000}"/>
    <cellStyle name="20% - Accent1 6 8 3 4" xfId="25177" xr:uid="{00000000-0005-0000-0000-0000E1020000}"/>
    <cellStyle name="20% - Accent1 6 8 4" xfId="5619" xr:uid="{00000000-0005-0000-0000-0000E2020000}"/>
    <cellStyle name="20% - Accent1 6 8 4 2" xfId="5950" xr:uid="{00000000-0005-0000-0000-0000E3020000}"/>
    <cellStyle name="20% - Accent1 6 8 4 2 2" xfId="25180" xr:uid="{00000000-0005-0000-0000-0000E4020000}"/>
    <cellStyle name="20% - Accent1 6 8 4 3" xfId="7533" xr:uid="{00000000-0005-0000-0000-0000E5020000}"/>
    <cellStyle name="20% - Accent1 6 8 4 4" xfId="25179" xr:uid="{00000000-0005-0000-0000-0000E6020000}"/>
    <cellStyle name="20% - Accent1 6 8 5" xfId="4251" xr:uid="{00000000-0005-0000-0000-0000E7020000}"/>
    <cellStyle name="20% - Accent1 6 8 5 2" xfId="5951" xr:uid="{00000000-0005-0000-0000-0000E8020000}"/>
    <cellStyle name="20% - Accent1 6 8 5 2 2" xfId="7535" xr:uid="{00000000-0005-0000-0000-0000E9020000}"/>
    <cellStyle name="20% - Accent1 6 8 5 2 2 2" xfId="25183" xr:uid="{00000000-0005-0000-0000-0000EA020000}"/>
    <cellStyle name="20% - Accent1 6 8 5 2 3" xfId="25182" xr:uid="{00000000-0005-0000-0000-0000EB020000}"/>
    <cellStyle name="20% - Accent1 6 8 5 2 4" xfId="28205" xr:uid="{00000000-0005-0000-0000-0000EC020000}"/>
    <cellStyle name="20% - Accent1 6 8 5 3" xfId="7536" xr:uid="{00000000-0005-0000-0000-0000ED020000}"/>
    <cellStyle name="20% - Accent1 6 8 5 3 2" xfId="25184" xr:uid="{00000000-0005-0000-0000-0000EE020000}"/>
    <cellStyle name="20% - Accent1 6 8 5 3 3" xfId="28206" xr:uid="{00000000-0005-0000-0000-0000EF020000}"/>
    <cellStyle name="20% - Accent1 6 8 5 4" xfId="7534" xr:uid="{00000000-0005-0000-0000-0000F0020000}"/>
    <cellStyle name="20% - Accent1 6 8 5 4 2" xfId="25185" xr:uid="{00000000-0005-0000-0000-0000F1020000}"/>
    <cellStyle name="20% - Accent1 6 8 5 5" xfId="25181" xr:uid="{00000000-0005-0000-0000-0000F2020000}"/>
    <cellStyle name="20% - Accent1 6 8 5 6" xfId="28204" xr:uid="{00000000-0005-0000-0000-0000F3020000}"/>
    <cellStyle name="20% - Accent1 6 8 6" xfId="5944" xr:uid="{00000000-0005-0000-0000-0000F4020000}"/>
    <cellStyle name="20% - Accent1 6 8 6 2" xfId="7537" xr:uid="{00000000-0005-0000-0000-0000F5020000}"/>
    <cellStyle name="20% - Accent1 6 8 6 2 2" xfId="25187" xr:uid="{00000000-0005-0000-0000-0000F6020000}"/>
    <cellStyle name="20% - Accent1 6 8 6 3" xfId="25186" xr:uid="{00000000-0005-0000-0000-0000F7020000}"/>
    <cellStyle name="20% - Accent1 6 8 6 4" xfId="28207" xr:uid="{00000000-0005-0000-0000-0000F8020000}"/>
    <cellStyle name="20% - Accent1 6 8 7" xfId="7538" xr:uid="{00000000-0005-0000-0000-0000F9020000}"/>
    <cellStyle name="20% - Accent1 6 8 7 2" xfId="25188" xr:uid="{00000000-0005-0000-0000-0000FA020000}"/>
    <cellStyle name="20% - Accent1 6 8 7 3" xfId="28208" xr:uid="{00000000-0005-0000-0000-0000FB020000}"/>
    <cellStyle name="20% - Accent1 6 8 8" xfId="7529" xr:uid="{00000000-0005-0000-0000-0000FC020000}"/>
    <cellStyle name="20% - Accent1 6 8 8 2" xfId="25189" xr:uid="{00000000-0005-0000-0000-0000FD020000}"/>
    <cellStyle name="20% - Accent1 6 8 9" xfId="24889" xr:uid="{00000000-0005-0000-0000-0000FE020000}"/>
    <cellStyle name="20% - Accent1 6 9" xfId="3817" xr:uid="{00000000-0005-0000-0000-0000FF020000}"/>
    <cellStyle name="20% - Accent1 6 9 2" xfId="5311" xr:uid="{00000000-0005-0000-0000-000000030000}"/>
    <cellStyle name="20% - Accent1 6 9 2 2" xfId="5953" xr:uid="{00000000-0005-0000-0000-000001030000}"/>
    <cellStyle name="20% - Accent1 6 9 2 2 2" xfId="25192" xr:uid="{00000000-0005-0000-0000-000002030000}"/>
    <cellStyle name="20% - Accent1 6 9 2 3" xfId="7540" xr:uid="{00000000-0005-0000-0000-000003030000}"/>
    <cellStyle name="20% - Accent1 6 9 2 4" xfId="25191" xr:uid="{00000000-0005-0000-0000-000004030000}"/>
    <cellStyle name="20% - Accent1 6 9 3" xfId="5621" xr:uid="{00000000-0005-0000-0000-000005030000}"/>
    <cellStyle name="20% - Accent1 6 9 3 2" xfId="5954" xr:uid="{00000000-0005-0000-0000-000006030000}"/>
    <cellStyle name="20% - Accent1 6 9 3 2 2" xfId="25194" xr:uid="{00000000-0005-0000-0000-000007030000}"/>
    <cellStyle name="20% - Accent1 6 9 3 3" xfId="7541" xr:uid="{00000000-0005-0000-0000-000008030000}"/>
    <cellStyle name="20% - Accent1 6 9 3 4" xfId="25193" xr:uid="{00000000-0005-0000-0000-000009030000}"/>
    <cellStyle name="20% - Accent1 6 9 4" xfId="4253" xr:uid="{00000000-0005-0000-0000-00000A030000}"/>
    <cellStyle name="20% - Accent1 6 9 4 2" xfId="5955" xr:uid="{00000000-0005-0000-0000-00000B030000}"/>
    <cellStyle name="20% - Accent1 6 9 4 2 2" xfId="25196" xr:uid="{00000000-0005-0000-0000-00000C030000}"/>
    <cellStyle name="20% - Accent1 6 9 4 3" xfId="7542" xr:uid="{00000000-0005-0000-0000-00000D030000}"/>
    <cellStyle name="20% - Accent1 6 9 4 4" xfId="25195" xr:uid="{00000000-0005-0000-0000-00000E030000}"/>
    <cellStyle name="20% - Accent1 6 9 5" xfId="5952" xr:uid="{00000000-0005-0000-0000-00000F030000}"/>
    <cellStyle name="20% - Accent1 6 9 5 2" xfId="25197" xr:uid="{00000000-0005-0000-0000-000010030000}"/>
    <cellStyle name="20% - Accent1 6 9 6" xfId="7539" xr:uid="{00000000-0005-0000-0000-000011030000}"/>
    <cellStyle name="20% - Accent1 6 9 6 2" xfId="25198" xr:uid="{00000000-0005-0000-0000-000012030000}"/>
    <cellStyle name="20% - Accent1 6 9 7" xfId="24953" xr:uid="{00000000-0005-0000-0000-000013030000}"/>
    <cellStyle name="20% - Accent1 6 9 8" xfId="25190" xr:uid="{00000000-0005-0000-0000-000014030000}"/>
    <cellStyle name="20% - Accent1 6 9 9" xfId="28209" xr:uid="{00000000-0005-0000-0000-000015030000}"/>
    <cellStyle name="20% - Accent1 7" xfId="361" xr:uid="{00000000-0005-0000-0000-000016030000}"/>
    <cellStyle name="20% - Accent1 7 10" xfId="7543" xr:uid="{00000000-0005-0000-0000-000017030000}"/>
    <cellStyle name="20% - Accent1 7 10 2" xfId="7544" xr:uid="{00000000-0005-0000-0000-000018030000}"/>
    <cellStyle name="20% - Accent1 7 10 3" xfId="7545" xr:uid="{00000000-0005-0000-0000-000019030000}"/>
    <cellStyle name="20% - Accent1 7 11" xfId="7546" xr:uid="{00000000-0005-0000-0000-00001A030000}"/>
    <cellStyle name="20% - Accent1 7 11 2" xfId="7547" xr:uid="{00000000-0005-0000-0000-00001B030000}"/>
    <cellStyle name="20% - Accent1 7 11 3" xfId="7548" xr:uid="{00000000-0005-0000-0000-00001C030000}"/>
    <cellStyle name="20% - Accent1 7 12" xfId="7549" xr:uid="{00000000-0005-0000-0000-00001D030000}"/>
    <cellStyle name="20% - Accent1 7 12 2" xfId="7550" xr:uid="{00000000-0005-0000-0000-00001E030000}"/>
    <cellStyle name="20% - Accent1 7 12 3" xfId="7551" xr:uid="{00000000-0005-0000-0000-00001F030000}"/>
    <cellStyle name="20% - Accent1 7 13" xfId="7552" xr:uid="{00000000-0005-0000-0000-000020030000}"/>
    <cellStyle name="20% - Accent1 7 14" xfId="7553" xr:uid="{00000000-0005-0000-0000-000021030000}"/>
    <cellStyle name="20% - Accent1 7 15" xfId="7554" xr:uid="{00000000-0005-0000-0000-000022030000}"/>
    <cellStyle name="20% - Accent1 7 16" xfId="7555" xr:uid="{00000000-0005-0000-0000-000023030000}"/>
    <cellStyle name="20% - Accent1 7 2" xfId="4254" xr:uid="{00000000-0005-0000-0000-000024030000}"/>
    <cellStyle name="20% - Accent1 7 2 2" xfId="7557" xr:uid="{00000000-0005-0000-0000-000025030000}"/>
    <cellStyle name="20% - Accent1 7 2 3" xfId="7558" xr:uid="{00000000-0005-0000-0000-000026030000}"/>
    <cellStyle name="20% - Accent1 7 2 4" xfId="7556" xr:uid="{00000000-0005-0000-0000-000027030000}"/>
    <cellStyle name="20% - Accent1 7 3" xfId="7559" xr:uid="{00000000-0005-0000-0000-000028030000}"/>
    <cellStyle name="20% - Accent1 7 3 2" xfId="7560" xr:uid="{00000000-0005-0000-0000-000029030000}"/>
    <cellStyle name="20% - Accent1 7 3 3" xfId="7561" xr:uid="{00000000-0005-0000-0000-00002A030000}"/>
    <cellStyle name="20% - Accent1 7 4" xfId="7562" xr:uid="{00000000-0005-0000-0000-00002B030000}"/>
    <cellStyle name="20% - Accent1 7 4 2" xfId="7563" xr:uid="{00000000-0005-0000-0000-00002C030000}"/>
    <cellStyle name="20% - Accent1 7 4 3" xfId="7564" xr:uid="{00000000-0005-0000-0000-00002D030000}"/>
    <cellStyle name="20% - Accent1 7 5" xfId="7565" xr:uid="{00000000-0005-0000-0000-00002E030000}"/>
    <cellStyle name="20% - Accent1 7 5 2" xfId="7566" xr:uid="{00000000-0005-0000-0000-00002F030000}"/>
    <cellStyle name="20% - Accent1 7 5 3" xfId="7567" xr:uid="{00000000-0005-0000-0000-000030030000}"/>
    <cellStyle name="20% - Accent1 7 6" xfId="7568" xr:uid="{00000000-0005-0000-0000-000031030000}"/>
    <cellStyle name="20% - Accent1 7 6 2" xfId="7569" xr:uid="{00000000-0005-0000-0000-000032030000}"/>
    <cellStyle name="20% - Accent1 7 6 3" xfId="7570" xr:uid="{00000000-0005-0000-0000-000033030000}"/>
    <cellStyle name="20% - Accent1 7 7" xfId="7571" xr:uid="{00000000-0005-0000-0000-000034030000}"/>
    <cellStyle name="20% - Accent1 7 7 2" xfId="7572" xr:uid="{00000000-0005-0000-0000-000035030000}"/>
    <cellStyle name="20% - Accent1 7 7 3" xfId="7573" xr:uid="{00000000-0005-0000-0000-000036030000}"/>
    <cellStyle name="20% - Accent1 7 8" xfId="7574" xr:uid="{00000000-0005-0000-0000-000037030000}"/>
    <cellStyle name="20% - Accent1 7 8 2" xfId="7575" xr:uid="{00000000-0005-0000-0000-000038030000}"/>
    <cellStyle name="20% - Accent1 7 8 3" xfId="7576" xr:uid="{00000000-0005-0000-0000-000039030000}"/>
    <cellStyle name="20% - Accent1 7 9" xfId="7577" xr:uid="{00000000-0005-0000-0000-00003A030000}"/>
    <cellStyle name="20% - Accent1 7 9 2" xfId="7578" xr:uid="{00000000-0005-0000-0000-00003B030000}"/>
    <cellStyle name="20% - Accent1 7 9 3" xfId="7579" xr:uid="{00000000-0005-0000-0000-00003C030000}"/>
    <cellStyle name="20% - Accent1 8" xfId="520" xr:uid="{00000000-0005-0000-0000-00003D030000}"/>
    <cellStyle name="20% - Accent1 8 10" xfId="24845" xr:uid="{00000000-0005-0000-0000-00003E030000}"/>
    <cellStyle name="20% - Accent1 8 11" xfId="25199" xr:uid="{00000000-0005-0000-0000-00003F030000}"/>
    <cellStyle name="20% - Accent1 8 12" xfId="28210" xr:uid="{00000000-0005-0000-0000-000040030000}"/>
    <cellStyle name="20% - Accent1 8 2" xfId="1372" xr:uid="{00000000-0005-0000-0000-000041030000}"/>
    <cellStyle name="20% - Accent1 8 2 10" xfId="25200" xr:uid="{00000000-0005-0000-0000-000042030000}"/>
    <cellStyle name="20% - Accent1 8 2 11" xfId="28211" xr:uid="{00000000-0005-0000-0000-000043030000}"/>
    <cellStyle name="20% - Accent1 8 2 2" xfId="4172" xr:uid="{00000000-0005-0000-0000-000044030000}"/>
    <cellStyle name="20% - Accent1 8 2 2 2" xfId="5314" xr:uid="{00000000-0005-0000-0000-000045030000}"/>
    <cellStyle name="20% - Accent1 8 2 2 2 2" xfId="5959" xr:uid="{00000000-0005-0000-0000-000046030000}"/>
    <cellStyle name="20% - Accent1 8 2 2 2 2 2" xfId="25203" xr:uid="{00000000-0005-0000-0000-000047030000}"/>
    <cellStyle name="20% - Accent1 8 2 2 2 3" xfId="7583" xr:uid="{00000000-0005-0000-0000-000048030000}"/>
    <cellStyle name="20% - Accent1 8 2 2 2 4" xfId="25202" xr:uid="{00000000-0005-0000-0000-000049030000}"/>
    <cellStyle name="20% - Accent1 8 2 2 3" xfId="5624" xr:uid="{00000000-0005-0000-0000-00004A030000}"/>
    <cellStyle name="20% - Accent1 8 2 2 3 2" xfId="5960" xr:uid="{00000000-0005-0000-0000-00004B030000}"/>
    <cellStyle name="20% - Accent1 8 2 2 3 2 2" xfId="25205" xr:uid="{00000000-0005-0000-0000-00004C030000}"/>
    <cellStyle name="20% - Accent1 8 2 2 3 3" xfId="25204" xr:uid="{00000000-0005-0000-0000-00004D030000}"/>
    <cellStyle name="20% - Accent1 8 2 2 4" xfId="4257" xr:uid="{00000000-0005-0000-0000-00004E030000}"/>
    <cellStyle name="20% - Accent1 8 2 2 4 2" xfId="5961" xr:uid="{00000000-0005-0000-0000-00004F030000}"/>
    <cellStyle name="20% - Accent1 8 2 2 4 2 2" xfId="25207" xr:uid="{00000000-0005-0000-0000-000050030000}"/>
    <cellStyle name="20% - Accent1 8 2 2 4 3" xfId="25206" xr:uid="{00000000-0005-0000-0000-000051030000}"/>
    <cellStyle name="20% - Accent1 8 2 2 5" xfId="5958" xr:uid="{00000000-0005-0000-0000-000052030000}"/>
    <cellStyle name="20% - Accent1 8 2 2 5 2" xfId="25208" xr:uid="{00000000-0005-0000-0000-000053030000}"/>
    <cellStyle name="20% - Accent1 8 2 2 6" xfId="7582" xr:uid="{00000000-0005-0000-0000-000054030000}"/>
    <cellStyle name="20% - Accent1 8 2 2 6 2" xfId="25209" xr:uid="{00000000-0005-0000-0000-000055030000}"/>
    <cellStyle name="20% - Accent1 8 2 2 7" xfId="25024" xr:uid="{00000000-0005-0000-0000-000056030000}"/>
    <cellStyle name="20% - Accent1 8 2 2 8" xfId="25201" xr:uid="{00000000-0005-0000-0000-000057030000}"/>
    <cellStyle name="20% - Accent1 8 2 2 9" xfId="28212" xr:uid="{00000000-0005-0000-0000-000058030000}"/>
    <cellStyle name="20% - Accent1 8 2 3" xfId="5313" xr:uid="{00000000-0005-0000-0000-000059030000}"/>
    <cellStyle name="20% - Accent1 8 2 3 2" xfId="5962" xr:uid="{00000000-0005-0000-0000-00005A030000}"/>
    <cellStyle name="20% - Accent1 8 2 3 2 2" xfId="25211" xr:uid="{00000000-0005-0000-0000-00005B030000}"/>
    <cellStyle name="20% - Accent1 8 2 3 3" xfId="7584" xr:uid="{00000000-0005-0000-0000-00005C030000}"/>
    <cellStyle name="20% - Accent1 8 2 3 4" xfId="25210" xr:uid="{00000000-0005-0000-0000-00005D030000}"/>
    <cellStyle name="20% - Accent1 8 2 4" xfId="5623" xr:uid="{00000000-0005-0000-0000-00005E030000}"/>
    <cellStyle name="20% - Accent1 8 2 4 2" xfId="5963" xr:uid="{00000000-0005-0000-0000-00005F030000}"/>
    <cellStyle name="20% - Accent1 8 2 4 2 2" xfId="25213" xr:uid="{00000000-0005-0000-0000-000060030000}"/>
    <cellStyle name="20% - Accent1 8 2 4 3" xfId="7585" xr:uid="{00000000-0005-0000-0000-000061030000}"/>
    <cellStyle name="20% - Accent1 8 2 4 4" xfId="25212" xr:uid="{00000000-0005-0000-0000-000062030000}"/>
    <cellStyle name="20% - Accent1 8 2 5" xfId="4256" xr:uid="{00000000-0005-0000-0000-000063030000}"/>
    <cellStyle name="20% - Accent1 8 2 5 2" xfId="5964" xr:uid="{00000000-0005-0000-0000-000064030000}"/>
    <cellStyle name="20% - Accent1 8 2 5 2 2" xfId="7587" xr:uid="{00000000-0005-0000-0000-000065030000}"/>
    <cellStyle name="20% - Accent1 8 2 5 2 2 2" xfId="25216" xr:uid="{00000000-0005-0000-0000-000066030000}"/>
    <cellStyle name="20% - Accent1 8 2 5 2 3" xfId="25215" xr:uid="{00000000-0005-0000-0000-000067030000}"/>
    <cellStyle name="20% - Accent1 8 2 5 2 4" xfId="28214" xr:uid="{00000000-0005-0000-0000-000068030000}"/>
    <cellStyle name="20% - Accent1 8 2 5 3" xfId="7588" xr:uid="{00000000-0005-0000-0000-000069030000}"/>
    <cellStyle name="20% - Accent1 8 2 5 3 2" xfId="25217" xr:uid="{00000000-0005-0000-0000-00006A030000}"/>
    <cellStyle name="20% - Accent1 8 2 5 3 3" xfId="28215" xr:uid="{00000000-0005-0000-0000-00006B030000}"/>
    <cellStyle name="20% - Accent1 8 2 5 4" xfId="7586" xr:uid="{00000000-0005-0000-0000-00006C030000}"/>
    <cellStyle name="20% - Accent1 8 2 5 4 2" xfId="25218" xr:uid="{00000000-0005-0000-0000-00006D030000}"/>
    <cellStyle name="20% - Accent1 8 2 5 5" xfId="25214" xr:uid="{00000000-0005-0000-0000-00006E030000}"/>
    <cellStyle name="20% - Accent1 8 2 5 6" xfId="28213" xr:uid="{00000000-0005-0000-0000-00006F030000}"/>
    <cellStyle name="20% - Accent1 8 2 6" xfId="5957" xr:uid="{00000000-0005-0000-0000-000070030000}"/>
    <cellStyle name="20% - Accent1 8 2 6 2" xfId="7589" xr:uid="{00000000-0005-0000-0000-000071030000}"/>
    <cellStyle name="20% - Accent1 8 2 6 2 2" xfId="25220" xr:uid="{00000000-0005-0000-0000-000072030000}"/>
    <cellStyle name="20% - Accent1 8 2 6 3" xfId="25219" xr:uid="{00000000-0005-0000-0000-000073030000}"/>
    <cellStyle name="20% - Accent1 8 2 6 4" xfId="28216" xr:uid="{00000000-0005-0000-0000-000074030000}"/>
    <cellStyle name="20% - Accent1 8 2 7" xfId="7590" xr:uid="{00000000-0005-0000-0000-000075030000}"/>
    <cellStyle name="20% - Accent1 8 2 7 2" xfId="25221" xr:uid="{00000000-0005-0000-0000-000076030000}"/>
    <cellStyle name="20% - Accent1 8 2 7 3" xfId="28217" xr:uid="{00000000-0005-0000-0000-000077030000}"/>
    <cellStyle name="20% - Accent1 8 2 8" xfId="7581" xr:uid="{00000000-0005-0000-0000-000078030000}"/>
    <cellStyle name="20% - Accent1 8 2 8 2" xfId="25222" xr:uid="{00000000-0005-0000-0000-000079030000}"/>
    <cellStyle name="20% - Accent1 8 2 9" xfId="24904" xr:uid="{00000000-0005-0000-0000-00007A030000}"/>
    <cellStyle name="20% - Accent1 8 3" xfId="3831" xr:uid="{00000000-0005-0000-0000-00007B030000}"/>
    <cellStyle name="20% - Accent1 8 3 2" xfId="5315" xr:uid="{00000000-0005-0000-0000-00007C030000}"/>
    <cellStyle name="20% - Accent1 8 3 2 2" xfId="5966" xr:uid="{00000000-0005-0000-0000-00007D030000}"/>
    <cellStyle name="20% - Accent1 8 3 2 2 2" xfId="25225" xr:uid="{00000000-0005-0000-0000-00007E030000}"/>
    <cellStyle name="20% - Accent1 8 3 2 3" xfId="7592" xr:uid="{00000000-0005-0000-0000-00007F030000}"/>
    <cellStyle name="20% - Accent1 8 3 2 4" xfId="25224" xr:uid="{00000000-0005-0000-0000-000080030000}"/>
    <cellStyle name="20% - Accent1 8 3 3" xfId="5625" xr:uid="{00000000-0005-0000-0000-000081030000}"/>
    <cellStyle name="20% - Accent1 8 3 3 2" xfId="5967" xr:uid="{00000000-0005-0000-0000-000082030000}"/>
    <cellStyle name="20% - Accent1 8 3 3 2 2" xfId="25227" xr:uid="{00000000-0005-0000-0000-000083030000}"/>
    <cellStyle name="20% - Accent1 8 3 3 3" xfId="25226" xr:uid="{00000000-0005-0000-0000-000084030000}"/>
    <cellStyle name="20% - Accent1 8 3 4" xfId="4258" xr:uid="{00000000-0005-0000-0000-000085030000}"/>
    <cellStyle name="20% - Accent1 8 3 4 2" xfId="5968" xr:uid="{00000000-0005-0000-0000-000086030000}"/>
    <cellStyle name="20% - Accent1 8 3 4 2 2" xfId="25229" xr:uid="{00000000-0005-0000-0000-000087030000}"/>
    <cellStyle name="20% - Accent1 8 3 4 3" xfId="25228" xr:uid="{00000000-0005-0000-0000-000088030000}"/>
    <cellStyle name="20% - Accent1 8 3 5" xfId="5965" xr:uid="{00000000-0005-0000-0000-000089030000}"/>
    <cellStyle name="20% - Accent1 8 3 5 2" xfId="25230" xr:uid="{00000000-0005-0000-0000-00008A030000}"/>
    <cellStyle name="20% - Accent1 8 3 6" xfId="7591" xr:uid="{00000000-0005-0000-0000-00008B030000}"/>
    <cellStyle name="20% - Accent1 8 3 6 2" xfId="25231" xr:uid="{00000000-0005-0000-0000-00008C030000}"/>
    <cellStyle name="20% - Accent1 8 3 7" xfId="24967" xr:uid="{00000000-0005-0000-0000-00008D030000}"/>
    <cellStyle name="20% - Accent1 8 3 8" xfId="25223" xr:uid="{00000000-0005-0000-0000-00008E030000}"/>
    <cellStyle name="20% - Accent1 8 3 9" xfId="28218" xr:uid="{00000000-0005-0000-0000-00008F030000}"/>
    <cellStyle name="20% - Accent1 8 4" xfId="5312" xr:uid="{00000000-0005-0000-0000-000090030000}"/>
    <cellStyle name="20% - Accent1 8 4 2" xfId="5969" xr:uid="{00000000-0005-0000-0000-000091030000}"/>
    <cellStyle name="20% - Accent1 8 4 2 2" xfId="25233" xr:uid="{00000000-0005-0000-0000-000092030000}"/>
    <cellStyle name="20% - Accent1 8 4 3" xfId="7593" xr:uid="{00000000-0005-0000-0000-000093030000}"/>
    <cellStyle name="20% - Accent1 8 4 4" xfId="25232" xr:uid="{00000000-0005-0000-0000-000094030000}"/>
    <cellStyle name="20% - Accent1 8 5" xfId="5622" xr:uid="{00000000-0005-0000-0000-000095030000}"/>
    <cellStyle name="20% - Accent1 8 5 2" xfId="5970" xr:uid="{00000000-0005-0000-0000-000096030000}"/>
    <cellStyle name="20% - Accent1 8 5 2 2" xfId="25235" xr:uid="{00000000-0005-0000-0000-000097030000}"/>
    <cellStyle name="20% - Accent1 8 5 3" xfId="7594" xr:uid="{00000000-0005-0000-0000-000098030000}"/>
    <cellStyle name="20% - Accent1 8 5 4" xfId="25234" xr:uid="{00000000-0005-0000-0000-000099030000}"/>
    <cellStyle name="20% - Accent1 8 6" xfId="4255" xr:uid="{00000000-0005-0000-0000-00009A030000}"/>
    <cellStyle name="20% - Accent1 8 6 2" xfId="5971" xr:uid="{00000000-0005-0000-0000-00009B030000}"/>
    <cellStyle name="20% - Accent1 8 6 2 2" xfId="7596" xr:uid="{00000000-0005-0000-0000-00009C030000}"/>
    <cellStyle name="20% - Accent1 8 6 2 2 2" xfId="25238" xr:uid="{00000000-0005-0000-0000-00009D030000}"/>
    <cellStyle name="20% - Accent1 8 6 2 3" xfId="25237" xr:uid="{00000000-0005-0000-0000-00009E030000}"/>
    <cellStyle name="20% - Accent1 8 6 2 4" xfId="28220" xr:uid="{00000000-0005-0000-0000-00009F030000}"/>
    <cellStyle name="20% - Accent1 8 6 3" xfId="7597" xr:uid="{00000000-0005-0000-0000-0000A0030000}"/>
    <cellStyle name="20% - Accent1 8 6 3 2" xfId="25239" xr:uid="{00000000-0005-0000-0000-0000A1030000}"/>
    <cellStyle name="20% - Accent1 8 6 3 3" xfId="28221" xr:uid="{00000000-0005-0000-0000-0000A2030000}"/>
    <cellStyle name="20% - Accent1 8 6 4" xfId="7595" xr:uid="{00000000-0005-0000-0000-0000A3030000}"/>
    <cellStyle name="20% - Accent1 8 6 4 2" xfId="25240" xr:uid="{00000000-0005-0000-0000-0000A4030000}"/>
    <cellStyle name="20% - Accent1 8 6 5" xfId="25236" xr:uid="{00000000-0005-0000-0000-0000A5030000}"/>
    <cellStyle name="20% - Accent1 8 6 6" xfId="28219" xr:uid="{00000000-0005-0000-0000-0000A6030000}"/>
    <cellStyle name="20% - Accent1 8 7" xfId="5956" xr:uid="{00000000-0005-0000-0000-0000A7030000}"/>
    <cellStyle name="20% - Accent1 8 7 2" xfId="7598" xr:uid="{00000000-0005-0000-0000-0000A8030000}"/>
    <cellStyle name="20% - Accent1 8 7 2 2" xfId="25242" xr:uid="{00000000-0005-0000-0000-0000A9030000}"/>
    <cellStyle name="20% - Accent1 8 7 3" xfId="25241" xr:uid="{00000000-0005-0000-0000-0000AA030000}"/>
    <cellStyle name="20% - Accent1 8 7 4" xfId="28222" xr:uid="{00000000-0005-0000-0000-0000AB030000}"/>
    <cellStyle name="20% - Accent1 8 8" xfId="7599" xr:uid="{00000000-0005-0000-0000-0000AC030000}"/>
    <cellStyle name="20% - Accent1 8 8 2" xfId="25243" xr:uid="{00000000-0005-0000-0000-0000AD030000}"/>
    <cellStyle name="20% - Accent1 8 8 3" xfId="28223" xr:uid="{00000000-0005-0000-0000-0000AE030000}"/>
    <cellStyle name="20% - Accent1 8 9" xfId="7580" xr:uid="{00000000-0005-0000-0000-0000AF030000}"/>
    <cellStyle name="20% - Accent1 8 9 2" xfId="25244" xr:uid="{00000000-0005-0000-0000-0000B0030000}"/>
    <cellStyle name="20% - Accent1 9" xfId="521" xr:uid="{00000000-0005-0000-0000-0000B1030000}"/>
    <cellStyle name="20% - Accent1 9 2" xfId="4259" xr:uid="{00000000-0005-0000-0000-0000B2030000}"/>
    <cellStyle name="20% - Accent1 9 2 2" xfId="7601" xr:uid="{00000000-0005-0000-0000-0000B3030000}"/>
    <cellStyle name="20% - Accent1 9 2 3" xfId="7602" xr:uid="{00000000-0005-0000-0000-0000B4030000}"/>
    <cellStyle name="20% - Accent1 9 2 4" xfId="7600" xr:uid="{00000000-0005-0000-0000-0000B5030000}"/>
    <cellStyle name="20% - Accent1 9 3" xfId="7603" xr:uid="{00000000-0005-0000-0000-0000B6030000}"/>
    <cellStyle name="20% - Accent1 9 4" xfId="7604" xr:uid="{00000000-0005-0000-0000-0000B7030000}"/>
    <cellStyle name="20% - Accent1 9 5" xfId="7605" xr:uid="{00000000-0005-0000-0000-0000B8030000}"/>
    <cellStyle name="20% - Accent1 9 6" xfId="7606" xr:uid="{00000000-0005-0000-0000-0000B9030000}"/>
    <cellStyle name="20% - Accent2" xfId="7107" builtinId="34" customBuiltin="1"/>
    <cellStyle name="20% - Accent2 10" xfId="644" xr:uid="{00000000-0005-0000-0000-0000BB030000}"/>
    <cellStyle name="20% - Accent2 10 2" xfId="4260" xr:uid="{00000000-0005-0000-0000-0000BC030000}"/>
    <cellStyle name="20% - Accent2 10 2 2" xfId="7607" xr:uid="{00000000-0005-0000-0000-0000BD030000}"/>
    <cellStyle name="20% - Accent2 10 3" xfId="7608" xr:uid="{00000000-0005-0000-0000-0000BE030000}"/>
    <cellStyle name="20% - Accent2 10 4" xfId="7609" xr:uid="{00000000-0005-0000-0000-0000BF030000}"/>
    <cellStyle name="20% - Accent2 10 5" xfId="7610" xr:uid="{00000000-0005-0000-0000-0000C0030000}"/>
    <cellStyle name="20% - Accent2 11" xfId="645" xr:uid="{00000000-0005-0000-0000-0000C1030000}"/>
    <cellStyle name="20% - Accent2 11 2" xfId="4261" xr:uid="{00000000-0005-0000-0000-0000C2030000}"/>
    <cellStyle name="20% - Accent2 11 2 2" xfId="7611" xr:uid="{00000000-0005-0000-0000-0000C3030000}"/>
    <cellStyle name="20% - Accent2 11 3" xfId="7612" xr:uid="{00000000-0005-0000-0000-0000C4030000}"/>
    <cellStyle name="20% - Accent2 11 4" xfId="7613" xr:uid="{00000000-0005-0000-0000-0000C5030000}"/>
    <cellStyle name="20% - Accent2 11 5" xfId="7614" xr:uid="{00000000-0005-0000-0000-0000C6030000}"/>
    <cellStyle name="20% - Accent2 12" xfId="801" xr:uid="{00000000-0005-0000-0000-0000C7030000}"/>
    <cellStyle name="20% - Accent2 12 2" xfId="7616" xr:uid="{00000000-0005-0000-0000-0000C8030000}"/>
    <cellStyle name="20% - Accent2 12 3" xfId="7617" xr:uid="{00000000-0005-0000-0000-0000C9030000}"/>
    <cellStyle name="20% - Accent2 12 4" xfId="7615" xr:uid="{00000000-0005-0000-0000-0000CA030000}"/>
    <cellStyle name="20% - Accent2 13" xfId="802" xr:uid="{00000000-0005-0000-0000-0000CB030000}"/>
    <cellStyle name="20% - Accent2 13 2" xfId="3846" xr:uid="{00000000-0005-0000-0000-0000CC030000}"/>
    <cellStyle name="20% - Accent2 13 2 2" xfId="5973" xr:uid="{00000000-0005-0000-0000-0000CD030000}"/>
    <cellStyle name="20% - Accent2 13 2 2 2" xfId="25247" xr:uid="{00000000-0005-0000-0000-0000CE030000}"/>
    <cellStyle name="20% - Accent2 13 2 3" xfId="7619" xr:uid="{00000000-0005-0000-0000-0000CF030000}"/>
    <cellStyle name="20% - Accent2 13 2 4" xfId="24982" xr:uid="{00000000-0005-0000-0000-0000D0030000}"/>
    <cellStyle name="20% - Accent2 13 2 5" xfId="25246" xr:uid="{00000000-0005-0000-0000-0000D1030000}"/>
    <cellStyle name="20% - Accent2 13 3" xfId="5972" xr:uid="{00000000-0005-0000-0000-0000D2030000}"/>
    <cellStyle name="20% - Accent2 13 3 2" xfId="7620" xr:uid="{00000000-0005-0000-0000-0000D3030000}"/>
    <cellStyle name="20% - Accent2 13 3 3" xfId="25248" xr:uid="{00000000-0005-0000-0000-0000D4030000}"/>
    <cellStyle name="20% - Accent2 13 4" xfId="7618" xr:uid="{00000000-0005-0000-0000-0000D5030000}"/>
    <cellStyle name="20% - Accent2 13 5" xfId="24861" xr:uid="{00000000-0005-0000-0000-0000D6030000}"/>
    <cellStyle name="20% - Accent2 13 6" xfId="25245" xr:uid="{00000000-0005-0000-0000-0000D7030000}"/>
    <cellStyle name="20% - Accent2 14" xfId="923" xr:uid="{00000000-0005-0000-0000-0000D8030000}"/>
    <cellStyle name="20% - Accent2 14 2" xfId="7622" xr:uid="{00000000-0005-0000-0000-0000D9030000}"/>
    <cellStyle name="20% - Accent2 14 3" xfId="7623" xr:uid="{00000000-0005-0000-0000-0000DA030000}"/>
    <cellStyle name="20% - Accent2 14 4" xfId="7621" xr:uid="{00000000-0005-0000-0000-0000DB030000}"/>
    <cellStyle name="20% - Accent2 15" xfId="7624" xr:uid="{00000000-0005-0000-0000-0000DC030000}"/>
    <cellStyle name="20% - Accent2 15 2" xfId="7625" xr:uid="{00000000-0005-0000-0000-0000DD030000}"/>
    <cellStyle name="20% - Accent2 15 3" xfId="7626" xr:uid="{00000000-0005-0000-0000-0000DE030000}"/>
    <cellStyle name="20% - Accent2 16" xfId="7627" xr:uid="{00000000-0005-0000-0000-0000DF030000}"/>
    <cellStyle name="20% - Accent2 16 2" xfId="7628" xr:uid="{00000000-0005-0000-0000-0000E0030000}"/>
    <cellStyle name="20% - Accent2 16 3" xfId="7629" xr:uid="{00000000-0005-0000-0000-0000E1030000}"/>
    <cellStyle name="20% - Accent2 17" xfId="7630" xr:uid="{00000000-0005-0000-0000-0000E2030000}"/>
    <cellStyle name="20% - Accent2 17 2" xfId="7631" xr:uid="{00000000-0005-0000-0000-0000E3030000}"/>
    <cellStyle name="20% - Accent2 17 3" xfId="7632" xr:uid="{00000000-0005-0000-0000-0000E4030000}"/>
    <cellStyle name="20% - Accent2 18" xfId="7633" xr:uid="{00000000-0005-0000-0000-0000E5030000}"/>
    <cellStyle name="20% - Accent2 18 2" xfId="7634" xr:uid="{00000000-0005-0000-0000-0000E6030000}"/>
    <cellStyle name="20% - Accent2 18 3" xfId="7635" xr:uid="{00000000-0005-0000-0000-0000E7030000}"/>
    <cellStyle name="20% - Accent2 19" xfId="7636" xr:uid="{00000000-0005-0000-0000-0000E8030000}"/>
    <cellStyle name="20% - Accent2 19 2" xfId="7637" xr:uid="{00000000-0005-0000-0000-0000E9030000}"/>
    <cellStyle name="20% - Accent2 2" xfId="69" xr:uid="{00000000-0005-0000-0000-0000EA030000}"/>
    <cellStyle name="20% - Accent2 2 10" xfId="1668" xr:uid="{00000000-0005-0000-0000-0000EB030000}"/>
    <cellStyle name="20% - Accent2 2 10 2" xfId="4262" xr:uid="{00000000-0005-0000-0000-0000EC030000}"/>
    <cellStyle name="20% - Accent2 2 10 2 2" xfId="7638" xr:uid="{00000000-0005-0000-0000-0000ED030000}"/>
    <cellStyle name="20% - Accent2 2 10 3" xfId="7639" xr:uid="{00000000-0005-0000-0000-0000EE030000}"/>
    <cellStyle name="20% - Accent2 2 10 4" xfId="7640" xr:uid="{00000000-0005-0000-0000-0000EF030000}"/>
    <cellStyle name="20% - Accent2 2 10 5" xfId="7641" xr:uid="{00000000-0005-0000-0000-0000F0030000}"/>
    <cellStyle name="20% - Accent2 2 11" xfId="1665" xr:uid="{00000000-0005-0000-0000-0000F1030000}"/>
    <cellStyle name="20% - Accent2 2 11 2" xfId="4263" xr:uid="{00000000-0005-0000-0000-0000F2030000}"/>
    <cellStyle name="20% - Accent2 2 11 2 2" xfId="7642" xr:uid="{00000000-0005-0000-0000-0000F3030000}"/>
    <cellStyle name="20% - Accent2 2 11 3" xfId="7643" xr:uid="{00000000-0005-0000-0000-0000F4030000}"/>
    <cellStyle name="20% - Accent2 2 11 4" xfId="7644" xr:uid="{00000000-0005-0000-0000-0000F5030000}"/>
    <cellStyle name="20% - Accent2 2 11 5" xfId="7645" xr:uid="{00000000-0005-0000-0000-0000F6030000}"/>
    <cellStyle name="20% - Accent2 2 12" xfId="1705" xr:uid="{00000000-0005-0000-0000-0000F7030000}"/>
    <cellStyle name="20% - Accent2 2 12 2" xfId="4264" xr:uid="{00000000-0005-0000-0000-0000F8030000}"/>
    <cellStyle name="20% - Accent2 2 12 2 2" xfId="7646" xr:uid="{00000000-0005-0000-0000-0000F9030000}"/>
    <cellStyle name="20% - Accent2 2 12 3" xfId="7647" xr:uid="{00000000-0005-0000-0000-0000FA030000}"/>
    <cellStyle name="20% - Accent2 2 12 4" xfId="7648" xr:uid="{00000000-0005-0000-0000-0000FB030000}"/>
    <cellStyle name="20% - Accent2 2 12 5" xfId="7649" xr:uid="{00000000-0005-0000-0000-0000FC030000}"/>
    <cellStyle name="20% - Accent2 2 13" xfId="2040" xr:uid="{00000000-0005-0000-0000-0000FD030000}"/>
    <cellStyle name="20% - Accent2 2 13 2" xfId="4265" xr:uid="{00000000-0005-0000-0000-0000FE030000}"/>
    <cellStyle name="20% - Accent2 2 13 2 2" xfId="7650" xr:uid="{00000000-0005-0000-0000-0000FF030000}"/>
    <cellStyle name="20% - Accent2 2 13 3" xfId="7651" xr:uid="{00000000-0005-0000-0000-000000040000}"/>
    <cellStyle name="20% - Accent2 2 13 4" xfId="7652" xr:uid="{00000000-0005-0000-0000-000001040000}"/>
    <cellStyle name="20% - Accent2 2 13 5" xfId="7653" xr:uid="{00000000-0005-0000-0000-000002040000}"/>
    <cellStyle name="20% - Accent2 2 14" xfId="2415" xr:uid="{00000000-0005-0000-0000-000003040000}"/>
    <cellStyle name="20% - Accent2 2 14 2" xfId="4266" xr:uid="{00000000-0005-0000-0000-000004040000}"/>
    <cellStyle name="20% - Accent2 2 14 2 2" xfId="7654" xr:uid="{00000000-0005-0000-0000-000005040000}"/>
    <cellStyle name="20% - Accent2 2 14 3" xfId="7655" xr:uid="{00000000-0005-0000-0000-000006040000}"/>
    <cellStyle name="20% - Accent2 2 14 4" xfId="7656" xr:uid="{00000000-0005-0000-0000-000007040000}"/>
    <cellStyle name="20% - Accent2 2 14 5" xfId="7657" xr:uid="{00000000-0005-0000-0000-000008040000}"/>
    <cellStyle name="20% - Accent2 2 15" xfId="2787" xr:uid="{00000000-0005-0000-0000-000009040000}"/>
    <cellStyle name="20% - Accent2 2 15 2" xfId="4267" xr:uid="{00000000-0005-0000-0000-00000A040000}"/>
    <cellStyle name="20% - Accent2 2 15 2 2" xfId="7658" xr:uid="{00000000-0005-0000-0000-00000B040000}"/>
    <cellStyle name="20% - Accent2 2 15 3" xfId="7659" xr:uid="{00000000-0005-0000-0000-00000C040000}"/>
    <cellStyle name="20% - Accent2 2 16" xfId="3633" xr:uid="{00000000-0005-0000-0000-00000D040000}"/>
    <cellStyle name="20% - Accent2 2 16 2" xfId="4268" xr:uid="{00000000-0005-0000-0000-00000E040000}"/>
    <cellStyle name="20% - Accent2 2 16 2 2" xfId="7660" xr:uid="{00000000-0005-0000-0000-00000F040000}"/>
    <cellStyle name="20% - Accent2 2 16 3" xfId="7661" xr:uid="{00000000-0005-0000-0000-000010040000}"/>
    <cellStyle name="20% - Accent2 2 17" xfId="24468" xr:uid="{00000000-0005-0000-0000-000011040000}"/>
    <cellStyle name="20% - Accent2 2 2" xfId="113" xr:uid="{00000000-0005-0000-0000-000012040000}"/>
    <cellStyle name="20% - Accent2 2 2 10" xfId="7662" xr:uid="{00000000-0005-0000-0000-000013040000}"/>
    <cellStyle name="20% - Accent2 2 2 10 2" xfId="7663" xr:uid="{00000000-0005-0000-0000-000014040000}"/>
    <cellStyle name="20% - Accent2 2 2 10 3" xfId="7664" xr:uid="{00000000-0005-0000-0000-000015040000}"/>
    <cellStyle name="20% - Accent2 2 2 11" xfId="7665" xr:uid="{00000000-0005-0000-0000-000016040000}"/>
    <cellStyle name="20% - Accent2 2 2 11 2" xfId="7666" xr:uid="{00000000-0005-0000-0000-000017040000}"/>
    <cellStyle name="20% - Accent2 2 2 11 3" xfId="7667" xr:uid="{00000000-0005-0000-0000-000018040000}"/>
    <cellStyle name="20% - Accent2 2 2 12" xfId="7668" xr:uid="{00000000-0005-0000-0000-000019040000}"/>
    <cellStyle name="20% - Accent2 2 2 12 2" xfId="7669" xr:uid="{00000000-0005-0000-0000-00001A040000}"/>
    <cellStyle name="20% - Accent2 2 2 12 3" xfId="7670" xr:uid="{00000000-0005-0000-0000-00001B040000}"/>
    <cellStyle name="20% - Accent2 2 2 13" xfId="7671" xr:uid="{00000000-0005-0000-0000-00001C040000}"/>
    <cellStyle name="20% - Accent2 2 2 14" xfId="7672" xr:uid="{00000000-0005-0000-0000-00001D040000}"/>
    <cellStyle name="20% - Accent2 2 2 15" xfId="7673" xr:uid="{00000000-0005-0000-0000-00001E040000}"/>
    <cellStyle name="20% - Accent2 2 2 2" xfId="175" xr:uid="{00000000-0005-0000-0000-00001F040000}"/>
    <cellStyle name="20% - Accent2 2 2 2 2" xfId="7674" xr:uid="{00000000-0005-0000-0000-000020040000}"/>
    <cellStyle name="20% - Accent2 2 2 2 3" xfId="7675" xr:uid="{00000000-0005-0000-0000-000021040000}"/>
    <cellStyle name="20% - Accent2 2 2 3" xfId="339" xr:uid="{00000000-0005-0000-0000-000022040000}"/>
    <cellStyle name="20% - Accent2 2 2 3 2" xfId="7676" xr:uid="{00000000-0005-0000-0000-000023040000}"/>
    <cellStyle name="20% - Accent2 2 2 3 3" xfId="7677" xr:uid="{00000000-0005-0000-0000-000024040000}"/>
    <cellStyle name="20% - Accent2 2 2 4" xfId="2161" xr:uid="{00000000-0005-0000-0000-000025040000}"/>
    <cellStyle name="20% - Accent2 2 2 4 2" xfId="7678" xr:uid="{00000000-0005-0000-0000-000026040000}"/>
    <cellStyle name="20% - Accent2 2 2 4 3" xfId="7679" xr:uid="{00000000-0005-0000-0000-000027040000}"/>
    <cellStyle name="20% - Accent2 2 2 5" xfId="2535" xr:uid="{00000000-0005-0000-0000-000028040000}"/>
    <cellStyle name="20% - Accent2 2 2 5 2" xfId="7680" xr:uid="{00000000-0005-0000-0000-000029040000}"/>
    <cellStyle name="20% - Accent2 2 2 5 3" xfId="7681" xr:uid="{00000000-0005-0000-0000-00002A040000}"/>
    <cellStyle name="20% - Accent2 2 2 6" xfId="2907" xr:uid="{00000000-0005-0000-0000-00002B040000}"/>
    <cellStyle name="20% - Accent2 2 2 6 2" xfId="7682" xr:uid="{00000000-0005-0000-0000-00002C040000}"/>
    <cellStyle name="20% - Accent2 2 2 6 3" xfId="7683" xr:uid="{00000000-0005-0000-0000-00002D040000}"/>
    <cellStyle name="20% - Accent2 2 2 7" xfId="3279" xr:uid="{00000000-0005-0000-0000-00002E040000}"/>
    <cellStyle name="20% - Accent2 2 2 7 2" xfId="7684" xr:uid="{00000000-0005-0000-0000-00002F040000}"/>
    <cellStyle name="20% - Accent2 2 2 7 3" xfId="7685" xr:uid="{00000000-0005-0000-0000-000030040000}"/>
    <cellStyle name="20% - Accent2 2 2 8" xfId="4269" xr:uid="{00000000-0005-0000-0000-000031040000}"/>
    <cellStyle name="20% - Accent2 2 2 8 2" xfId="7687" xr:uid="{00000000-0005-0000-0000-000032040000}"/>
    <cellStyle name="20% - Accent2 2 2 8 3" xfId="7688" xr:uid="{00000000-0005-0000-0000-000033040000}"/>
    <cellStyle name="20% - Accent2 2 2 8 4" xfId="7686" xr:uid="{00000000-0005-0000-0000-000034040000}"/>
    <cellStyle name="20% - Accent2 2 2 9" xfId="7689" xr:uid="{00000000-0005-0000-0000-000035040000}"/>
    <cellStyle name="20% - Accent2 2 2 9 2" xfId="7690" xr:uid="{00000000-0005-0000-0000-000036040000}"/>
    <cellStyle name="20% - Accent2 2 2 9 3" xfId="7691" xr:uid="{00000000-0005-0000-0000-000037040000}"/>
    <cellStyle name="20% - Accent2 2 3" xfId="278" xr:uid="{00000000-0005-0000-0000-000038040000}"/>
    <cellStyle name="20% - Accent2 2 3 2" xfId="1337" xr:uid="{00000000-0005-0000-0000-000039040000}"/>
    <cellStyle name="20% - Accent2 2 3 2 2" xfId="7692" xr:uid="{00000000-0005-0000-0000-00003A040000}"/>
    <cellStyle name="20% - Accent2 2 3 2 3" xfId="7693" xr:uid="{00000000-0005-0000-0000-00003B040000}"/>
    <cellStyle name="20% - Accent2 2 3 3" xfId="7694" xr:uid="{00000000-0005-0000-0000-00003C040000}"/>
    <cellStyle name="20% - Accent2 2 3 4" xfId="7695" xr:uid="{00000000-0005-0000-0000-00003D040000}"/>
    <cellStyle name="20% - Accent2 2 4" xfId="362" xr:uid="{00000000-0005-0000-0000-00003E040000}"/>
    <cellStyle name="20% - Accent2 2 4 2" xfId="7696" xr:uid="{00000000-0005-0000-0000-00003F040000}"/>
    <cellStyle name="20% - Accent2 2 4 2 2" xfId="7697" xr:uid="{00000000-0005-0000-0000-000040040000}"/>
    <cellStyle name="20% - Accent2 2 4 2 3" xfId="7698" xr:uid="{00000000-0005-0000-0000-000041040000}"/>
    <cellStyle name="20% - Accent2 2 4 3" xfId="7699" xr:uid="{00000000-0005-0000-0000-000042040000}"/>
    <cellStyle name="20% - Accent2 2 4 4" xfId="7700" xr:uid="{00000000-0005-0000-0000-000043040000}"/>
    <cellStyle name="20% - Accent2 2 5" xfId="522" xr:uid="{00000000-0005-0000-0000-000044040000}"/>
    <cellStyle name="20% - Accent2 2 5 2" xfId="7701" xr:uid="{00000000-0005-0000-0000-000045040000}"/>
    <cellStyle name="20% - Accent2 2 5 3" xfId="7702" xr:uid="{00000000-0005-0000-0000-000046040000}"/>
    <cellStyle name="20% - Accent2 2 6" xfId="646" xr:uid="{00000000-0005-0000-0000-000047040000}"/>
    <cellStyle name="20% - Accent2 2 6 2" xfId="7703" xr:uid="{00000000-0005-0000-0000-000048040000}"/>
    <cellStyle name="20% - Accent2 2 6 3" xfId="7704" xr:uid="{00000000-0005-0000-0000-000049040000}"/>
    <cellStyle name="20% - Accent2 2 7" xfId="647" xr:uid="{00000000-0005-0000-0000-00004A040000}"/>
    <cellStyle name="20% - Accent2 2 7 2" xfId="7705" xr:uid="{00000000-0005-0000-0000-00004B040000}"/>
    <cellStyle name="20% - Accent2 2 7 3" xfId="7706" xr:uid="{00000000-0005-0000-0000-00004C040000}"/>
    <cellStyle name="20% - Accent2 2 8" xfId="803" xr:uid="{00000000-0005-0000-0000-00004D040000}"/>
    <cellStyle name="20% - Accent2 2 8 2" xfId="1397" xr:uid="{00000000-0005-0000-0000-00004E040000}"/>
    <cellStyle name="20% - Accent2 2 8 2 2" xfId="7707" xr:uid="{00000000-0005-0000-0000-00004F040000}"/>
    <cellStyle name="20% - Accent2 2 8 3" xfId="7708" xr:uid="{00000000-0005-0000-0000-000050040000}"/>
    <cellStyle name="20% - Accent2 2 8 4" xfId="7709" xr:uid="{00000000-0005-0000-0000-000051040000}"/>
    <cellStyle name="20% - Accent2 2 8 5" xfId="7710" xr:uid="{00000000-0005-0000-0000-000052040000}"/>
    <cellStyle name="20% - Accent2 2 9" xfId="924" xr:uid="{00000000-0005-0000-0000-000053040000}"/>
    <cellStyle name="20% - Accent2 2 9 2" xfId="1392" xr:uid="{00000000-0005-0000-0000-000054040000}"/>
    <cellStyle name="20% - Accent2 2 9 2 2" xfId="7711" xr:uid="{00000000-0005-0000-0000-000055040000}"/>
    <cellStyle name="20% - Accent2 2 9 3" xfId="7712" xr:uid="{00000000-0005-0000-0000-000056040000}"/>
    <cellStyle name="20% - Accent2 2 9 4" xfId="7713" xr:uid="{00000000-0005-0000-0000-000057040000}"/>
    <cellStyle name="20% - Accent2 2 9 5" xfId="7714" xr:uid="{00000000-0005-0000-0000-000058040000}"/>
    <cellStyle name="20% - Accent2 20" xfId="7715" xr:uid="{00000000-0005-0000-0000-000059040000}"/>
    <cellStyle name="20% - Accent2 21" xfId="7716" xr:uid="{00000000-0005-0000-0000-00005A040000}"/>
    <cellStyle name="20% - Accent2 21 2" xfId="7717" xr:uid="{00000000-0005-0000-0000-00005B040000}"/>
    <cellStyle name="20% - Accent2 21 2 2" xfId="7718" xr:uid="{00000000-0005-0000-0000-00005C040000}"/>
    <cellStyle name="20% - Accent2 21 2 2 2" xfId="25251" xr:uid="{00000000-0005-0000-0000-00005D040000}"/>
    <cellStyle name="20% - Accent2 21 2 2 3" xfId="28226" xr:uid="{00000000-0005-0000-0000-00005E040000}"/>
    <cellStyle name="20% - Accent2 21 2 3" xfId="7719" xr:uid="{00000000-0005-0000-0000-00005F040000}"/>
    <cellStyle name="20% - Accent2 21 2 3 2" xfId="25252" xr:uid="{00000000-0005-0000-0000-000060040000}"/>
    <cellStyle name="20% - Accent2 21 2 3 3" xfId="28227" xr:uid="{00000000-0005-0000-0000-000061040000}"/>
    <cellStyle name="20% - Accent2 21 2 4" xfId="25250" xr:uid="{00000000-0005-0000-0000-000062040000}"/>
    <cellStyle name="20% - Accent2 21 2 5" xfId="28225" xr:uid="{00000000-0005-0000-0000-000063040000}"/>
    <cellStyle name="20% - Accent2 21 3" xfId="7720" xr:uid="{00000000-0005-0000-0000-000064040000}"/>
    <cellStyle name="20% - Accent2 21 3 2" xfId="25253" xr:uid="{00000000-0005-0000-0000-000065040000}"/>
    <cellStyle name="20% - Accent2 21 3 3" xfId="28228" xr:uid="{00000000-0005-0000-0000-000066040000}"/>
    <cellStyle name="20% - Accent2 21 4" xfId="7721" xr:uid="{00000000-0005-0000-0000-000067040000}"/>
    <cellStyle name="20% - Accent2 21 4 2" xfId="25254" xr:uid="{00000000-0005-0000-0000-000068040000}"/>
    <cellStyle name="20% - Accent2 21 4 3" xfId="28229" xr:uid="{00000000-0005-0000-0000-000069040000}"/>
    <cellStyle name="20% - Accent2 21 5" xfId="25249" xr:uid="{00000000-0005-0000-0000-00006A040000}"/>
    <cellStyle name="20% - Accent2 21 6" xfId="28224" xr:uid="{00000000-0005-0000-0000-00006B040000}"/>
    <cellStyle name="20% - Accent2 22" xfId="7722" xr:uid="{00000000-0005-0000-0000-00006C040000}"/>
    <cellStyle name="20% - Accent2 22 2" xfId="7723" xr:uid="{00000000-0005-0000-0000-00006D040000}"/>
    <cellStyle name="20% - Accent2 22 2 2" xfId="7724" xr:uid="{00000000-0005-0000-0000-00006E040000}"/>
    <cellStyle name="20% - Accent2 22 2 2 2" xfId="25257" xr:uid="{00000000-0005-0000-0000-00006F040000}"/>
    <cellStyle name="20% - Accent2 22 2 2 3" xfId="28232" xr:uid="{00000000-0005-0000-0000-000070040000}"/>
    <cellStyle name="20% - Accent2 22 2 3" xfId="7725" xr:uid="{00000000-0005-0000-0000-000071040000}"/>
    <cellStyle name="20% - Accent2 22 2 3 2" xfId="25258" xr:uid="{00000000-0005-0000-0000-000072040000}"/>
    <cellStyle name="20% - Accent2 22 2 3 3" xfId="28233" xr:uid="{00000000-0005-0000-0000-000073040000}"/>
    <cellStyle name="20% - Accent2 22 2 4" xfId="25256" xr:uid="{00000000-0005-0000-0000-000074040000}"/>
    <cellStyle name="20% - Accent2 22 2 5" xfId="28231" xr:uid="{00000000-0005-0000-0000-000075040000}"/>
    <cellStyle name="20% - Accent2 22 3" xfId="7726" xr:uid="{00000000-0005-0000-0000-000076040000}"/>
    <cellStyle name="20% - Accent2 22 3 2" xfId="25259" xr:uid="{00000000-0005-0000-0000-000077040000}"/>
    <cellStyle name="20% - Accent2 22 3 3" xfId="28234" xr:uid="{00000000-0005-0000-0000-000078040000}"/>
    <cellStyle name="20% - Accent2 22 4" xfId="7727" xr:uid="{00000000-0005-0000-0000-000079040000}"/>
    <cellStyle name="20% - Accent2 22 4 2" xfId="25260" xr:uid="{00000000-0005-0000-0000-00007A040000}"/>
    <cellStyle name="20% - Accent2 22 4 3" xfId="28235" xr:uid="{00000000-0005-0000-0000-00007B040000}"/>
    <cellStyle name="20% - Accent2 22 5" xfId="25255" xr:uid="{00000000-0005-0000-0000-00007C040000}"/>
    <cellStyle name="20% - Accent2 22 6" xfId="28230" xr:uid="{00000000-0005-0000-0000-00007D040000}"/>
    <cellStyle name="20% - Accent2 23" xfId="7728" xr:uid="{00000000-0005-0000-0000-00007E040000}"/>
    <cellStyle name="20% - Accent2 24" xfId="7729" xr:uid="{00000000-0005-0000-0000-00007F040000}"/>
    <cellStyle name="20% - Accent2 24 2" xfId="7730" xr:uid="{00000000-0005-0000-0000-000080040000}"/>
    <cellStyle name="20% - Accent2 24 2 2" xfId="7731" xr:uid="{00000000-0005-0000-0000-000081040000}"/>
    <cellStyle name="20% - Accent2 24 2 2 2" xfId="25263" xr:uid="{00000000-0005-0000-0000-000082040000}"/>
    <cellStyle name="20% - Accent2 24 2 2 3" xfId="28238" xr:uid="{00000000-0005-0000-0000-000083040000}"/>
    <cellStyle name="20% - Accent2 24 2 3" xfId="7732" xr:uid="{00000000-0005-0000-0000-000084040000}"/>
    <cellStyle name="20% - Accent2 24 2 3 2" xfId="25264" xr:uid="{00000000-0005-0000-0000-000085040000}"/>
    <cellStyle name="20% - Accent2 24 2 3 3" xfId="28239" xr:uid="{00000000-0005-0000-0000-000086040000}"/>
    <cellStyle name="20% - Accent2 24 2 4" xfId="25262" xr:uid="{00000000-0005-0000-0000-000087040000}"/>
    <cellStyle name="20% - Accent2 24 2 5" xfId="28237" xr:uid="{00000000-0005-0000-0000-000088040000}"/>
    <cellStyle name="20% - Accent2 24 3" xfId="7733" xr:uid="{00000000-0005-0000-0000-000089040000}"/>
    <cellStyle name="20% - Accent2 24 3 2" xfId="25265" xr:uid="{00000000-0005-0000-0000-00008A040000}"/>
    <cellStyle name="20% - Accent2 24 3 3" xfId="28240" xr:uid="{00000000-0005-0000-0000-00008B040000}"/>
    <cellStyle name="20% - Accent2 24 4" xfId="7734" xr:uid="{00000000-0005-0000-0000-00008C040000}"/>
    <cellStyle name="20% - Accent2 24 4 2" xfId="25266" xr:uid="{00000000-0005-0000-0000-00008D040000}"/>
    <cellStyle name="20% - Accent2 24 4 3" xfId="28241" xr:uid="{00000000-0005-0000-0000-00008E040000}"/>
    <cellStyle name="20% - Accent2 24 5" xfId="25261" xr:uid="{00000000-0005-0000-0000-00008F040000}"/>
    <cellStyle name="20% - Accent2 24 6" xfId="28236" xr:uid="{00000000-0005-0000-0000-000090040000}"/>
    <cellStyle name="20% - Accent2 25" xfId="7735" xr:uid="{00000000-0005-0000-0000-000091040000}"/>
    <cellStyle name="20% - Accent2 25 2" xfId="7736" xr:uid="{00000000-0005-0000-0000-000092040000}"/>
    <cellStyle name="20% - Accent2 25 2 2" xfId="7737" xr:uid="{00000000-0005-0000-0000-000093040000}"/>
    <cellStyle name="20% - Accent2 25 2 2 2" xfId="25269" xr:uid="{00000000-0005-0000-0000-000094040000}"/>
    <cellStyle name="20% - Accent2 25 2 2 3" xfId="28244" xr:uid="{00000000-0005-0000-0000-000095040000}"/>
    <cellStyle name="20% - Accent2 25 2 3" xfId="7738" xr:uid="{00000000-0005-0000-0000-000096040000}"/>
    <cellStyle name="20% - Accent2 25 2 3 2" xfId="25270" xr:uid="{00000000-0005-0000-0000-000097040000}"/>
    <cellStyle name="20% - Accent2 25 2 3 3" xfId="28245" xr:uid="{00000000-0005-0000-0000-000098040000}"/>
    <cellStyle name="20% - Accent2 25 2 4" xfId="25268" xr:uid="{00000000-0005-0000-0000-000099040000}"/>
    <cellStyle name="20% - Accent2 25 2 5" xfId="28243" xr:uid="{00000000-0005-0000-0000-00009A040000}"/>
    <cellStyle name="20% - Accent2 25 3" xfId="7739" xr:uid="{00000000-0005-0000-0000-00009B040000}"/>
    <cellStyle name="20% - Accent2 25 3 2" xfId="25271" xr:uid="{00000000-0005-0000-0000-00009C040000}"/>
    <cellStyle name="20% - Accent2 25 3 3" xfId="28246" xr:uid="{00000000-0005-0000-0000-00009D040000}"/>
    <cellStyle name="20% - Accent2 25 4" xfId="7740" xr:uid="{00000000-0005-0000-0000-00009E040000}"/>
    <cellStyle name="20% - Accent2 25 4 2" xfId="25272" xr:uid="{00000000-0005-0000-0000-00009F040000}"/>
    <cellStyle name="20% - Accent2 25 4 3" xfId="28247" xr:uid="{00000000-0005-0000-0000-0000A0040000}"/>
    <cellStyle name="20% - Accent2 25 5" xfId="25267" xr:uid="{00000000-0005-0000-0000-0000A1040000}"/>
    <cellStyle name="20% - Accent2 25 6" xfId="28242" xr:uid="{00000000-0005-0000-0000-0000A2040000}"/>
    <cellStyle name="20% - Accent2 26" xfId="7741" xr:uid="{00000000-0005-0000-0000-0000A3040000}"/>
    <cellStyle name="20% - Accent2 27" xfId="7742" xr:uid="{00000000-0005-0000-0000-0000A4040000}"/>
    <cellStyle name="20% - Accent2 27 2" xfId="7743" xr:uid="{00000000-0005-0000-0000-0000A5040000}"/>
    <cellStyle name="20% - Accent2 27 2 2" xfId="7744" xr:uid="{00000000-0005-0000-0000-0000A6040000}"/>
    <cellStyle name="20% - Accent2 27 2 2 2" xfId="25275" xr:uid="{00000000-0005-0000-0000-0000A7040000}"/>
    <cellStyle name="20% - Accent2 27 2 2 3" xfId="28250" xr:uid="{00000000-0005-0000-0000-0000A8040000}"/>
    <cellStyle name="20% - Accent2 27 2 3" xfId="7745" xr:uid="{00000000-0005-0000-0000-0000A9040000}"/>
    <cellStyle name="20% - Accent2 27 2 3 2" xfId="25276" xr:uid="{00000000-0005-0000-0000-0000AA040000}"/>
    <cellStyle name="20% - Accent2 27 2 3 3" xfId="28251" xr:uid="{00000000-0005-0000-0000-0000AB040000}"/>
    <cellStyle name="20% - Accent2 27 2 4" xfId="25274" xr:uid="{00000000-0005-0000-0000-0000AC040000}"/>
    <cellStyle name="20% - Accent2 27 2 5" xfId="28249" xr:uid="{00000000-0005-0000-0000-0000AD040000}"/>
    <cellStyle name="20% - Accent2 27 3" xfId="7746" xr:uid="{00000000-0005-0000-0000-0000AE040000}"/>
    <cellStyle name="20% - Accent2 27 3 2" xfId="25277" xr:uid="{00000000-0005-0000-0000-0000AF040000}"/>
    <cellStyle name="20% - Accent2 27 3 3" xfId="28252" xr:uid="{00000000-0005-0000-0000-0000B0040000}"/>
    <cellStyle name="20% - Accent2 27 4" xfId="7747" xr:uid="{00000000-0005-0000-0000-0000B1040000}"/>
    <cellStyle name="20% - Accent2 27 4 2" xfId="25278" xr:uid="{00000000-0005-0000-0000-0000B2040000}"/>
    <cellStyle name="20% - Accent2 27 4 3" xfId="28253" xr:uid="{00000000-0005-0000-0000-0000B3040000}"/>
    <cellStyle name="20% - Accent2 27 5" xfId="25273" xr:uid="{00000000-0005-0000-0000-0000B4040000}"/>
    <cellStyle name="20% - Accent2 27 6" xfId="28248" xr:uid="{00000000-0005-0000-0000-0000B5040000}"/>
    <cellStyle name="20% - Accent2 28" xfId="7748" xr:uid="{00000000-0005-0000-0000-0000B6040000}"/>
    <cellStyle name="20% - Accent2 28 2" xfId="7749" xr:uid="{00000000-0005-0000-0000-0000B7040000}"/>
    <cellStyle name="20% - Accent2 28 2 2" xfId="25280" xr:uid="{00000000-0005-0000-0000-0000B8040000}"/>
    <cellStyle name="20% - Accent2 28 2 3" xfId="28255" xr:uid="{00000000-0005-0000-0000-0000B9040000}"/>
    <cellStyle name="20% - Accent2 28 3" xfId="7750" xr:uid="{00000000-0005-0000-0000-0000BA040000}"/>
    <cellStyle name="20% - Accent2 28 3 2" xfId="25281" xr:uid="{00000000-0005-0000-0000-0000BB040000}"/>
    <cellStyle name="20% - Accent2 28 3 3" xfId="28256" xr:uid="{00000000-0005-0000-0000-0000BC040000}"/>
    <cellStyle name="20% - Accent2 28 4" xfId="25279" xr:uid="{00000000-0005-0000-0000-0000BD040000}"/>
    <cellStyle name="20% - Accent2 28 5" xfId="28254" xr:uid="{00000000-0005-0000-0000-0000BE040000}"/>
    <cellStyle name="20% - Accent2 29" xfId="7751" xr:uid="{00000000-0005-0000-0000-0000BF040000}"/>
    <cellStyle name="20% - Accent2 29 2" xfId="25282" xr:uid="{00000000-0005-0000-0000-0000C0040000}"/>
    <cellStyle name="20% - Accent2 29 3" xfId="28257" xr:uid="{00000000-0005-0000-0000-0000C1040000}"/>
    <cellStyle name="20% - Accent2 3" xfId="216" xr:uid="{00000000-0005-0000-0000-0000C2040000}"/>
    <cellStyle name="20% - Accent2 3 10" xfId="3676" xr:uid="{00000000-0005-0000-0000-0000C3040000}"/>
    <cellStyle name="20% - Accent2 3 10 2" xfId="4270" xr:uid="{00000000-0005-0000-0000-0000C4040000}"/>
    <cellStyle name="20% - Accent2 3 10 2 2" xfId="7752" xr:uid="{00000000-0005-0000-0000-0000C5040000}"/>
    <cellStyle name="20% - Accent2 3 10 3" xfId="7753" xr:uid="{00000000-0005-0000-0000-0000C6040000}"/>
    <cellStyle name="20% - Accent2 3 10 4" xfId="7754" xr:uid="{00000000-0005-0000-0000-0000C7040000}"/>
    <cellStyle name="20% - Accent2 3 10 5" xfId="7755" xr:uid="{00000000-0005-0000-0000-0000C8040000}"/>
    <cellStyle name="20% - Accent2 3 11" xfId="7756" xr:uid="{00000000-0005-0000-0000-0000C9040000}"/>
    <cellStyle name="20% - Accent2 3 11 2" xfId="7757" xr:uid="{00000000-0005-0000-0000-0000CA040000}"/>
    <cellStyle name="20% - Accent2 3 11 3" xfId="7758" xr:uid="{00000000-0005-0000-0000-0000CB040000}"/>
    <cellStyle name="20% - Accent2 3 12" xfId="7759" xr:uid="{00000000-0005-0000-0000-0000CC040000}"/>
    <cellStyle name="20% - Accent2 3 12 2" xfId="7760" xr:uid="{00000000-0005-0000-0000-0000CD040000}"/>
    <cellStyle name="20% - Accent2 3 12 3" xfId="7761" xr:uid="{00000000-0005-0000-0000-0000CE040000}"/>
    <cellStyle name="20% - Accent2 3 13" xfId="7762" xr:uid="{00000000-0005-0000-0000-0000CF040000}"/>
    <cellStyle name="20% - Accent2 3 13 2" xfId="7763" xr:uid="{00000000-0005-0000-0000-0000D0040000}"/>
    <cellStyle name="20% - Accent2 3 13 3" xfId="7764" xr:uid="{00000000-0005-0000-0000-0000D1040000}"/>
    <cellStyle name="20% - Accent2 3 14" xfId="7765" xr:uid="{00000000-0005-0000-0000-0000D2040000}"/>
    <cellStyle name="20% - Accent2 3 15" xfId="7766" xr:uid="{00000000-0005-0000-0000-0000D3040000}"/>
    <cellStyle name="20% - Accent2 3 2" xfId="1449" xr:uid="{00000000-0005-0000-0000-0000D4040000}"/>
    <cellStyle name="20% - Accent2 3 2 10" xfId="7767" xr:uid="{00000000-0005-0000-0000-0000D5040000}"/>
    <cellStyle name="20% - Accent2 3 2 10 2" xfId="7768" xr:uid="{00000000-0005-0000-0000-0000D6040000}"/>
    <cellStyle name="20% - Accent2 3 2 10 3" xfId="7769" xr:uid="{00000000-0005-0000-0000-0000D7040000}"/>
    <cellStyle name="20% - Accent2 3 2 11" xfId="7770" xr:uid="{00000000-0005-0000-0000-0000D8040000}"/>
    <cellStyle name="20% - Accent2 3 2 11 2" xfId="7771" xr:uid="{00000000-0005-0000-0000-0000D9040000}"/>
    <cellStyle name="20% - Accent2 3 2 11 3" xfId="7772" xr:uid="{00000000-0005-0000-0000-0000DA040000}"/>
    <cellStyle name="20% - Accent2 3 2 12" xfId="7773" xr:uid="{00000000-0005-0000-0000-0000DB040000}"/>
    <cellStyle name="20% - Accent2 3 2 12 2" xfId="7774" xr:uid="{00000000-0005-0000-0000-0000DC040000}"/>
    <cellStyle name="20% - Accent2 3 2 12 3" xfId="7775" xr:uid="{00000000-0005-0000-0000-0000DD040000}"/>
    <cellStyle name="20% - Accent2 3 2 13" xfId="7776" xr:uid="{00000000-0005-0000-0000-0000DE040000}"/>
    <cellStyle name="20% - Accent2 3 2 14" xfId="7777" xr:uid="{00000000-0005-0000-0000-0000DF040000}"/>
    <cellStyle name="20% - Accent2 3 2 15" xfId="7778" xr:uid="{00000000-0005-0000-0000-0000E0040000}"/>
    <cellStyle name="20% - Accent2 3 2 2" xfId="1827" xr:uid="{00000000-0005-0000-0000-0000E1040000}"/>
    <cellStyle name="20% - Accent2 3 2 2 2" xfId="7779" xr:uid="{00000000-0005-0000-0000-0000E2040000}"/>
    <cellStyle name="20% - Accent2 3 2 2 3" xfId="7780" xr:uid="{00000000-0005-0000-0000-0000E3040000}"/>
    <cellStyle name="20% - Accent2 3 2 3" xfId="2202" xr:uid="{00000000-0005-0000-0000-0000E4040000}"/>
    <cellStyle name="20% - Accent2 3 2 3 2" xfId="7781" xr:uid="{00000000-0005-0000-0000-0000E5040000}"/>
    <cellStyle name="20% - Accent2 3 2 3 3" xfId="7782" xr:uid="{00000000-0005-0000-0000-0000E6040000}"/>
    <cellStyle name="20% - Accent2 3 2 4" xfId="2576" xr:uid="{00000000-0005-0000-0000-0000E7040000}"/>
    <cellStyle name="20% - Accent2 3 2 4 2" xfId="7783" xr:uid="{00000000-0005-0000-0000-0000E8040000}"/>
    <cellStyle name="20% - Accent2 3 2 4 3" xfId="7784" xr:uid="{00000000-0005-0000-0000-0000E9040000}"/>
    <cellStyle name="20% - Accent2 3 2 5" xfId="2948" xr:uid="{00000000-0005-0000-0000-0000EA040000}"/>
    <cellStyle name="20% - Accent2 3 2 5 2" xfId="7785" xr:uid="{00000000-0005-0000-0000-0000EB040000}"/>
    <cellStyle name="20% - Accent2 3 2 5 3" xfId="7786" xr:uid="{00000000-0005-0000-0000-0000EC040000}"/>
    <cellStyle name="20% - Accent2 3 2 6" xfId="3320" xr:uid="{00000000-0005-0000-0000-0000ED040000}"/>
    <cellStyle name="20% - Accent2 3 2 6 2" xfId="7787" xr:uid="{00000000-0005-0000-0000-0000EE040000}"/>
    <cellStyle name="20% - Accent2 3 2 6 3" xfId="7788" xr:uid="{00000000-0005-0000-0000-0000EF040000}"/>
    <cellStyle name="20% - Accent2 3 2 7" xfId="4271" xr:uid="{00000000-0005-0000-0000-0000F0040000}"/>
    <cellStyle name="20% - Accent2 3 2 7 2" xfId="7790" xr:uid="{00000000-0005-0000-0000-0000F1040000}"/>
    <cellStyle name="20% - Accent2 3 2 7 3" xfId="7791" xr:uid="{00000000-0005-0000-0000-0000F2040000}"/>
    <cellStyle name="20% - Accent2 3 2 7 4" xfId="7789" xr:uid="{00000000-0005-0000-0000-0000F3040000}"/>
    <cellStyle name="20% - Accent2 3 2 8" xfId="7792" xr:uid="{00000000-0005-0000-0000-0000F4040000}"/>
    <cellStyle name="20% - Accent2 3 2 8 2" xfId="7793" xr:uid="{00000000-0005-0000-0000-0000F5040000}"/>
    <cellStyle name="20% - Accent2 3 2 8 3" xfId="7794" xr:uid="{00000000-0005-0000-0000-0000F6040000}"/>
    <cellStyle name="20% - Accent2 3 2 9" xfId="7795" xr:uid="{00000000-0005-0000-0000-0000F7040000}"/>
    <cellStyle name="20% - Accent2 3 2 9 2" xfId="7796" xr:uid="{00000000-0005-0000-0000-0000F8040000}"/>
    <cellStyle name="20% - Accent2 3 2 9 3" xfId="7797" xr:uid="{00000000-0005-0000-0000-0000F9040000}"/>
    <cellStyle name="20% - Accent2 3 3" xfId="1576" xr:uid="{00000000-0005-0000-0000-0000FA040000}"/>
    <cellStyle name="20% - Accent2 3 3 2" xfId="1904" xr:uid="{00000000-0005-0000-0000-0000FB040000}"/>
    <cellStyle name="20% - Accent2 3 3 3" xfId="2279" xr:uid="{00000000-0005-0000-0000-0000FC040000}"/>
    <cellStyle name="20% - Accent2 3 3 4" xfId="2652" xr:uid="{00000000-0005-0000-0000-0000FD040000}"/>
    <cellStyle name="20% - Accent2 3 3 5" xfId="3025" xr:uid="{00000000-0005-0000-0000-0000FE040000}"/>
    <cellStyle name="20% - Accent2 3 3 6" xfId="3396" xr:uid="{00000000-0005-0000-0000-0000FF040000}"/>
    <cellStyle name="20% - Accent2 3 3 7" xfId="4272" xr:uid="{00000000-0005-0000-0000-000000050000}"/>
    <cellStyle name="20% - Accent2 3 4" xfId="1713" xr:uid="{00000000-0005-0000-0000-000001050000}"/>
    <cellStyle name="20% - Accent2 3 4 2" xfId="1948" xr:uid="{00000000-0005-0000-0000-000002050000}"/>
    <cellStyle name="20% - Accent2 3 4 3" xfId="2323" xr:uid="{00000000-0005-0000-0000-000003050000}"/>
    <cellStyle name="20% - Accent2 3 4 4" xfId="2696" xr:uid="{00000000-0005-0000-0000-000004050000}"/>
    <cellStyle name="20% - Accent2 3 4 5" xfId="3069" xr:uid="{00000000-0005-0000-0000-000005050000}"/>
    <cellStyle name="20% - Accent2 3 4 6" xfId="3440" xr:uid="{00000000-0005-0000-0000-000006050000}"/>
    <cellStyle name="20% - Accent2 3 5" xfId="2048" xr:uid="{00000000-0005-0000-0000-000007050000}"/>
    <cellStyle name="20% - Accent2 3 5 2" xfId="7798" xr:uid="{00000000-0005-0000-0000-000008050000}"/>
    <cellStyle name="20% - Accent2 3 5 3" xfId="7799" xr:uid="{00000000-0005-0000-0000-000009050000}"/>
    <cellStyle name="20% - Accent2 3 5 4" xfId="7800" xr:uid="{00000000-0005-0000-0000-00000A050000}"/>
    <cellStyle name="20% - Accent2 3 6" xfId="2422" xr:uid="{00000000-0005-0000-0000-00000B050000}"/>
    <cellStyle name="20% - Accent2 3 6 2" xfId="7801" xr:uid="{00000000-0005-0000-0000-00000C050000}"/>
    <cellStyle name="20% - Accent2 3 6 3" xfId="7802" xr:uid="{00000000-0005-0000-0000-00000D050000}"/>
    <cellStyle name="20% - Accent2 3 6 4" xfId="7803" xr:uid="{00000000-0005-0000-0000-00000E050000}"/>
    <cellStyle name="20% - Accent2 3 7" xfId="2794" xr:uid="{00000000-0005-0000-0000-00000F050000}"/>
    <cellStyle name="20% - Accent2 3 7 2" xfId="7804" xr:uid="{00000000-0005-0000-0000-000010050000}"/>
    <cellStyle name="20% - Accent2 3 7 3" xfId="7805" xr:uid="{00000000-0005-0000-0000-000011050000}"/>
    <cellStyle name="20% - Accent2 3 7 4" xfId="7806" xr:uid="{00000000-0005-0000-0000-000012050000}"/>
    <cellStyle name="20% - Accent2 3 8" xfId="3165" xr:uid="{00000000-0005-0000-0000-000013050000}"/>
    <cellStyle name="20% - Accent2 3 8 2" xfId="7807" xr:uid="{00000000-0005-0000-0000-000014050000}"/>
    <cellStyle name="20% - Accent2 3 8 3" xfId="7808" xr:uid="{00000000-0005-0000-0000-000015050000}"/>
    <cellStyle name="20% - Accent2 3 8 4" xfId="7809" xr:uid="{00000000-0005-0000-0000-000016050000}"/>
    <cellStyle name="20% - Accent2 3 9" xfId="3540" xr:uid="{00000000-0005-0000-0000-000017050000}"/>
    <cellStyle name="20% - Accent2 3 9 2" xfId="4273" xr:uid="{00000000-0005-0000-0000-000018050000}"/>
    <cellStyle name="20% - Accent2 3 9 2 2" xfId="7810" xr:uid="{00000000-0005-0000-0000-000019050000}"/>
    <cellStyle name="20% - Accent2 3 9 3" xfId="7811" xr:uid="{00000000-0005-0000-0000-00001A050000}"/>
    <cellStyle name="20% - Accent2 3 9 4" xfId="7812" xr:uid="{00000000-0005-0000-0000-00001B050000}"/>
    <cellStyle name="20% - Accent2 3 9 5" xfId="7813" xr:uid="{00000000-0005-0000-0000-00001C050000}"/>
    <cellStyle name="20% - Accent2 30" xfId="28142" xr:uid="{00000000-0005-0000-0000-00001D050000}"/>
    <cellStyle name="20% - Accent2 4" xfId="236" xr:uid="{00000000-0005-0000-0000-00001E050000}"/>
    <cellStyle name="20% - Accent2 4 10" xfId="3720" xr:uid="{00000000-0005-0000-0000-00001F050000}"/>
    <cellStyle name="20% - Accent2 4 10 2" xfId="4275" xr:uid="{00000000-0005-0000-0000-000020050000}"/>
    <cellStyle name="20% - Accent2 4 10 2 2" xfId="7815" xr:uid="{00000000-0005-0000-0000-000021050000}"/>
    <cellStyle name="20% - Accent2 4 10 3" xfId="7816" xr:uid="{00000000-0005-0000-0000-000022050000}"/>
    <cellStyle name="20% - Accent2 4 10 4" xfId="7817" xr:uid="{00000000-0005-0000-0000-000023050000}"/>
    <cellStyle name="20% - Accent2 4 10 5" xfId="7818" xr:uid="{00000000-0005-0000-0000-000024050000}"/>
    <cellStyle name="20% - Accent2 4 11" xfId="1298" xr:uid="{00000000-0005-0000-0000-000025050000}"/>
    <cellStyle name="20% - Accent2 4 11 10" xfId="25283" xr:uid="{00000000-0005-0000-0000-000026050000}"/>
    <cellStyle name="20% - Accent2 4 11 11" xfId="28259" xr:uid="{00000000-0005-0000-0000-000027050000}"/>
    <cellStyle name="20% - Accent2 4 11 2" xfId="4146" xr:uid="{00000000-0005-0000-0000-000028050000}"/>
    <cellStyle name="20% - Accent2 4 11 2 2" xfId="5318" xr:uid="{00000000-0005-0000-0000-000029050000}"/>
    <cellStyle name="20% - Accent2 4 11 2 2 2" xfId="5976" xr:uid="{00000000-0005-0000-0000-00002A050000}"/>
    <cellStyle name="20% - Accent2 4 11 2 2 2 2" xfId="25286" xr:uid="{00000000-0005-0000-0000-00002B050000}"/>
    <cellStyle name="20% - Accent2 4 11 2 2 3" xfId="7821" xr:uid="{00000000-0005-0000-0000-00002C050000}"/>
    <cellStyle name="20% - Accent2 4 11 2 2 4" xfId="25285" xr:uid="{00000000-0005-0000-0000-00002D050000}"/>
    <cellStyle name="20% - Accent2 4 11 2 3" xfId="5628" xr:uid="{00000000-0005-0000-0000-00002E050000}"/>
    <cellStyle name="20% - Accent2 4 11 2 3 2" xfId="5977" xr:uid="{00000000-0005-0000-0000-00002F050000}"/>
    <cellStyle name="20% - Accent2 4 11 2 3 2 2" xfId="25288" xr:uid="{00000000-0005-0000-0000-000030050000}"/>
    <cellStyle name="20% - Accent2 4 11 2 3 3" xfId="25287" xr:uid="{00000000-0005-0000-0000-000031050000}"/>
    <cellStyle name="20% - Accent2 4 11 2 4" xfId="4277" xr:uid="{00000000-0005-0000-0000-000032050000}"/>
    <cellStyle name="20% - Accent2 4 11 2 4 2" xfId="5978" xr:uid="{00000000-0005-0000-0000-000033050000}"/>
    <cellStyle name="20% - Accent2 4 11 2 4 2 2" xfId="25290" xr:uid="{00000000-0005-0000-0000-000034050000}"/>
    <cellStyle name="20% - Accent2 4 11 2 4 3" xfId="25289" xr:uid="{00000000-0005-0000-0000-000035050000}"/>
    <cellStyle name="20% - Accent2 4 11 2 5" xfId="5975" xr:uid="{00000000-0005-0000-0000-000036050000}"/>
    <cellStyle name="20% - Accent2 4 11 2 5 2" xfId="25291" xr:uid="{00000000-0005-0000-0000-000037050000}"/>
    <cellStyle name="20% - Accent2 4 11 2 6" xfId="7820" xr:uid="{00000000-0005-0000-0000-000038050000}"/>
    <cellStyle name="20% - Accent2 4 11 2 6 2" xfId="25292" xr:uid="{00000000-0005-0000-0000-000039050000}"/>
    <cellStyle name="20% - Accent2 4 11 2 7" xfId="24998" xr:uid="{00000000-0005-0000-0000-00003A050000}"/>
    <cellStyle name="20% - Accent2 4 11 2 8" xfId="25284" xr:uid="{00000000-0005-0000-0000-00003B050000}"/>
    <cellStyle name="20% - Accent2 4 11 2 9" xfId="28260" xr:uid="{00000000-0005-0000-0000-00003C050000}"/>
    <cellStyle name="20% - Accent2 4 11 3" xfId="5317" xr:uid="{00000000-0005-0000-0000-00003D050000}"/>
    <cellStyle name="20% - Accent2 4 11 3 2" xfId="5979" xr:uid="{00000000-0005-0000-0000-00003E050000}"/>
    <cellStyle name="20% - Accent2 4 11 3 2 2" xfId="25294" xr:uid="{00000000-0005-0000-0000-00003F050000}"/>
    <cellStyle name="20% - Accent2 4 11 3 3" xfId="7822" xr:uid="{00000000-0005-0000-0000-000040050000}"/>
    <cellStyle name="20% - Accent2 4 11 3 4" xfId="25293" xr:uid="{00000000-0005-0000-0000-000041050000}"/>
    <cellStyle name="20% - Accent2 4 11 4" xfId="5627" xr:uid="{00000000-0005-0000-0000-000042050000}"/>
    <cellStyle name="20% - Accent2 4 11 4 2" xfId="5980" xr:uid="{00000000-0005-0000-0000-000043050000}"/>
    <cellStyle name="20% - Accent2 4 11 4 2 2" xfId="25296" xr:uid="{00000000-0005-0000-0000-000044050000}"/>
    <cellStyle name="20% - Accent2 4 11 4 3" xfId="7823" xr:uid="{00000000-0005-0000-0000-000045050000}"/>
    <cellStyle name="20% - Accent2 4 11 4 4" xfId="25295" xr:uid="{00000000-0005-0000-0000-000046050000}"/>
    <cellStyle name="20% - Accent2 4 11 5" xfId="4276" xr:uid="{00000000-0005-0000-0000-000047050000}"/>
    <cellStyle name="20% - Accent2 4 11 5 2" xfId="5981" xr:uid="{00000000-0005-0000-0000-000048050000}"/>
    <cellStyle name="20% - Accent2 4 11 5 2 2" xfId="7825" xr:uid="{00000000-0005-0000-0000-000049050000}"/>
    <cellStyle name="20% - Accent2 4 11 5 2 2 2" xfId="25299" xr:uid="{00000000-0005-0000-0000-00004A050000}"/>
    <cellStyle name="20% - Accent2 4 11 5 2 3" xfId="25298" xr:uid="{00000000-0005-0000-0000-00004B050000}"/>
    <cellStyle name="20% - Accent2 4 11 5 2 4" xfId="28262" xr:uid="{00000000-0005-0000-0000-00004C050000}"/>
    <cellStyle name="20% - Accent2 4 11 5 3" xfId="7826" xr:uid="{00000000-0005-0000-0000-00004D050000}"/>
    <cellStyle name="20% - Accent2 4 11 5 3 2" xfId="25300" xr:uid="{00000000-0005-0000-0000-00004E050000}"/>
    <cellStyle name="20% - Accent2 4 11 5 3 3" xfId="28263" xr:uid="{00000000-0005-0000-0000-00004F050000}"/>
    <cellStyle name="20% - Accent2 4 11 5 4" xfId="7824" xr:uid="{00000000-0005-0000-0000-000050050000}"/>
    <cellStyle name="20% - Accent2 4 11 5 4 2" xfId="25301" xr:uid="{00000000-0005-0000-0000-000051050000}"/>
    <cellStyle name="20% - Accent2 4 11 5 5" xfId="25297" xr:uid="{00000000-0005-0000-0000-000052050000}"/>
    <cellStyle name="20% - Accent2 4 11 5 6" xfId="28261" xr:uid="{00000000-0005-0000-0000-000053050000}"/>
    <cellStyle name="20% - Accent2 4 11 6" xfId="5974" xr:uid="{00000000-0005-0000-0000-000054050000}"/>
    <cellStyle name="20% - Accent2 4 11 6 2" xfId="7827" xr:uid="{00000000-0005-0000-0000-000055050000}"/>
    <cellStyle name="20% - Accent2 4 11 6 2 2" xfId="25303" xr:uid="{00000000-0005-0000-0000-000056050000}"/>
    <cellStyle name="20% - Accent2 4 11 6 3" xfId="25302" xr:uid="{00000000-0005-0000-0000-000057050000}"/>
    <cellStyle name="20% - Accent2 4 11 6 4" xfId="28264" xr:uid="{00000000-0005-0000-0000-000058050000}"/>
    <cellStyle name="20% - Accent2 4 11 7" xfId="7828" xr:uid="{00000000-0005-0000-0000-000059050000}"/>
    <cellStyle name="20% - Accent2 4 11 7 2" xfId="25304" xr:uid="{00000000-0005-0000-0000-00005A050000}"/>
    <cellStyle name="20% - Accent2 4 11 7 3" xfId="28265" xr:uid="{00000000-0005-0000-0000-00005B050000}"/>
    <cellStyle name="20% - Accent2 4 11 8" xfId="7819" xr:uid="{00000000-0005-0000-0000-00005C050000}"/>
    <cellStyle name="20% - Accent2 4 11 8 2" xfId="25305" xr:uid="{00000000-0005-0000-0000-00005D050000}"/>
    <cellStyle name="20% - Accent2 4 11 9" xfId="24878" xr:uid="{00000000-0005-0000-0000-00005E050000}"/>
    <cellStyle name="20% - Accent2 4 12" xfId="4278" xr:uid="{00000000-0005-0000-0000-00005F050000}"/>
    <cellStyle name="20% - Accent2 4 12 2" xfId="5319" xr:uid="{00000000-0005-0000-0000-000060050000}"/>
    <cellStyle name="20% - Accent2 4 12 2 2" xfId="5983" xr:uid="{00000000-0005-0000-0000-000061050000}"/>
    <cellStyle name="20% - Accent2 4 12 2 2 2" xfId="25308" xr:uid="{00000000-0005-0000-0000-000062050000}"/>
    <cellStyle name="20% - Accent2 4 12 2 3" xfId="7830" xr:uid="{00000000-0005-0000-0000-000063050000}"/>
    <cellStyle name="20% - Accent2 4 12 2 4" xfId="25307" xr:uid="{00000000-0005-0000-0000-000064050000}"/>
    <cellStyle name="20% - Accent2 4 12 3" xfId="5629" xr:uid="{00000000-0005-0000-0000-000065050000}"/>
    <cellStyle name="20% - Accent2 4 12 3 2" xfId="5984" xr:uid="{00000000-0005-0000-0000-000066050000}"/>
    <cellStyle name="20% - Accent2 4 12 3 2 2" xfId="25310" xr:uid="{00000000-0005-0000-0000-000067050000}"/>
    <cellStyle name="20% - Accent2 4 12 3 3" xfId="7831" xr:uid="{00000000-0005-0000-0000-000068050000}"/>
    <cellStyle name="20% - Accent2 4 12 3 4" xfId="25309" xr:uid="{00000000-0005-0000-0000-000069050000}"/>
    <cellStyle name="20% - Accent2 4 12 4" xfId="5982" xr:uid="{00000000-0005-0000-0000-00006A050000}"/>
    <cellStyle name="20% - Accent2 4 12 4 2" xfId="7832" xr:uid="{00000000-0005-0000-0000-00006B050000}"/>
    <cellStyle name="20% - Accent2 4 12 4 3" xfId="25311" xr:uid="{00000000-0005-0000-0000-00006C050000}"/>
    <cellStyle name="20% - Accent2 4 12 5" xfId="7829" xr:uid="{00000000-0005-0000-0000-00006D050000}"/>
    <cellStyle name="20% - Accent2 4 12 5 2" xfId="25312" xr:uid="{00000000-0005-0000-0000-00006E050000}"/>
    <cellStyle name="20% - Accent2 4 12 6" xfId="25306" xr:uid="{00000000-0005-0000-0000-00006F050000}"/>
    <cellStyle name="20% - Accent2 4 12 7" xfId="28266" xr:uid="{00000000-0005-0000-0000-000070050000}"/>
    <cellStyle name="20% - Accent2 4 13" xfId="5316" xr:uid="{00000000-0005-0000-0000-000071050000}"/>
    <cellStyle name="20% - Accent2 4 13 2" xfId="5985" xr:uid="{00000000-0005-0000-0000-000072050000}"/>
    <cellStyle name="20% - Accent2 4 13 2 2" xfId="7834" xr:uid="{00000000-0005-0000-0000-000073050000}"/>
    <cellStyle name="20% - Accent2 4 13 2 3" xfId="25314" xr:uid="{00000000-0005-0000-0000-000074050000}"/>
    <cellStyle name="20% - Accent2 4 13 3" xfId="7835" xr:uid="{00000000-0005-0000-0000-000075050000}"/>
    <cellStyle name="20% - Accent2 4 13 4" xfId="7833" xr:uid="{00000000-0005-0000-0000-000076050000}"/>
    <cellStyle name="20% - Accent2 4 13 5" xfId="25313" xr:uid="{00000000-0005-0000-0000-000077050000}"/>
    <cellStyle name="20% - Accent2 4 14" xfId="5626" xr:uid="{00000000-0005-0000-0000-000078050000}"/>
    <cellStyle name="20% - Accent2 4 14 2" xfId="5986" xr:uid="{00000000-0005-0000-0000-000079050000}"/>
    <cellStyle name="20% - Accent2 4 14 2 2" xfId="25316" xr:uid="{00000000-0005-0000-0000-00007A050000}"/>
    <cellStyle name="20% - Accent2 4 14 3" xfId="7836" xr:uid="{00000000-0005-0000-0000-00007B050000}"/>
    <cellStyle name="20% - Accent2 4 14 4" xfId="25315" xr:uid="{00000000-0005-0000-0000-00007C050000}"/>
    <cellStyle name="20% - Accent2 4 15" xfId="4274" xr:uid="{00000000-0005-0000-0000-00007D050000}"/>
    <cellStyle name="20% - Accent2 4 15 2" xfId="5987" xr:uid="{00000000-0005-0000-0000-00007E050000}"/>
    <cellStyle name="20% - Accent2 4 15 2 2" xfId="25318" xr:uid="{00000000-0005-0000-0000-00007F050000}"/>
    <cellStyle name="20% - Accent2 4 15 3" xfId="7837" xr:uid="{00000000-0005-0000-0000-000080050000}"/>
    <cellStyle name="20% - Accent2 4 15 4" xfId="25317" xr:uid="{00000000-0005-0000-0000-000081050000}"/>
    <cellStyle name="20% - Accent2 4 16" xfId="7838" xr:uid="{00000000-0005-0000-0000-000082050000}"/>
    <cellStyle name="20% - Accent2 4 17" xfId="7839" xr:uid="{00000000-0005-0000-0000-000083050000}"/>
    <cellStyle name="20% - Accent2 4 17 2" xfId="7840" xr:uid="{00000000-0005-0000-0000-000084050000}"/>
    <cellStyle name="20% - Accent2 4 17 2 2" xfId="25320" xr:uid="{00000000-0005-0000-0000-000085050000}"/>
    <cellStyle name="20% - Accent2 4 17 2 3" xfId="28268" xr:uid="{00000000-0005-0000-0000-000086050000}"/>
    <cellStyle name="20% - Accent2 4 17 3" xfId="7841" xr:uid="{00000000-0005-0000-0000-000087050000}"/>
    <cellStyle name="20% - Accent2 4 17 3 2" xfId="25321" xr:uid="{00000000-0005-0000-0000-000088050000}"/>
    <cellStyle name="20% - Accent2 4 17 3 3" xfId="28269" xr:uid="{00000000-0005-0000-0000-000089050000}"/>
    <cellStyle name="20% - Accent2 4 17 4" xfId="25319" xr:uid="{00000000-0005-0000-0000-00008A050000}"/>
    <cellStyle name="20% - Accent2 4 17 5" xfId="28267" xr:uid="{00000000-0005-0000-0000-00008B050000}"/>
    <cellStyle name="20% - Accent2 4 18" xfId="7842" xr:uid="{00000000-0005-0000-0000-00008C050000}"/>
    <cellStyle name="20% - Accent2 4 18 2" xfId="25322" xr:uid="{00000000-0005-0000-0000-00008D050000}"/>
    <cellStyle name="20% - Accent2 4 18 3" xfId="28270" xr:uid="{00000000-0005-0000-0000-00008E050000}"/>
    <cellStyle name="20% - Accent2 4 19" xfId="7843" xr:uid="{00000000-0005-0000-0000-00008F050000}"/>
    <cellStyle name="20% - Accent2 4 19 2" xfId="25323" xr:uid="{00000000-0005-0000-0000-000090050000}"/>
    <cellStyle name="20% - Accent2 4 19 3" xfId="28271" xr:uid="{00000000-0005-0000-0000-000091050000}"/>
    <cellStyle name="20% - Accent2 4 2" xfId="1494" xr:uid="{00000000-0005-0000-0000-000092050000}"/>
    <cellStyle name="20% - Accent2 4 2 10" xfId="7844" xr:uid="{00000000-0005-0000-0000-000093050000}"/>
    <cellStyle name="20% - Accent2 4 2 10 2" xfId="7845" xr:uid="{00000000-0005-0000-0000-000094050000}"/>
    <cellStyle name="20% - Accent2 4 2 10 3" xfId="7846" xr:uid="{00000000-0005-0000-0000-000095050000}"/>
    <cellStyle name="20% - Accent2 4 2 11" xfId="7847" xr:uid="{00000000-0005-0000-0000-000096050000}"/>
    <cellStyle name="20% - Accent2 4 2 11 2" xfId="7848" xr:uid="{00000000-0005-0000-0000-000097050000}"/>
    <cellStyle name="20% - Accent2 4 2 11 3" xfId="7849" xr:uid="{00000000-0005-0000-0000-000098050000}"/>
    <cellStyle name="20% - Accent2 4 2 12" xfId="7850" xr:uid="{00000000-0005-0000-0000-000099050000}"/>
    <cellStyle name="20% - Accent2 4 2 12 2" xfId="7851" xr:uid="{00000000-0005-0000-0000-00009A050000}"/>
    <cellStyle name="20% - Accent2 4 2 12 3" xfId="7852" xr:uid="{00000000-0005-0000-0000-00009B050000}"/>
    <cellStyle name="20% - Accent2 4 2 13" xfId="7853" xr:uid="{00000000-0005-0000-0000-00009C050000}"/>
    <cellStyle name="20% - Accent2 4 2 14" xfId="7854" xr:uid="{00000000-0005-0000-0000-00009D050000}"/>
    <cellStyle name="20% - Accent2 4 2 15" xfId="7855" xr:uid="{00000000-0005-0000-0000-00009E050000}"/>
    <cellStyle name="20% - Accent2 4 2 16" xfId="7856" xr:uid="{00000000-0005-0000-0000-00009F050000}"/>
    <cellStyle name="20% - Accent2 4 2 2" xfId="4279" xr:uid="{00000000-0005-0000-0000-0000A0050000}"/>
    <cellStyle name="20% - Accent2 4 2 2 2" xfId="7858" xr:uid="{00000000-0005-0000-0000-0000A1050000}"/>
    <cellStyle name="20% - Accent2 4 2 2 3" xfId="7859" xr:uid="{00000000-0005-0000-0000-0000A2050000}"/>
    <cellStyle name="20% - Accent2 4 2 2 4" xfId="7857" xr:uid="{00000000-0005-0000-0000-0000A3050000}"/>
    <cellStyle name="20% - Accent2 4 2 3" xfId="7860" xr:uid="{00000000-0005-0000-0000-0000A4050000}"/>
    <cellStyle name="20% - Accent2 4 2 3 2" xfId="7861" xr:uid="{00000000-0005-0000-0000-0000A5050000}"/>
    <cellStyle name="20% - Accent2 4 2 3 3" xfId="7862" xr:uid="{00000000-0005-0000-0000-0000A6050000}"/>
    <cellStyle name="20% - Accent2 4 2 4" xfId="7863" xr:uid="{00000000-0005-0000-0000-0000A7050000}"/>
    <cellStyle name="20% - Accent2 4 2 4 2" xfId="7864" xr:uid="{00000000-0005-0000-0000-0000A8050000}"/>
    <cellStyle name="20% - Accent2 4 2 4 3" xfId="7865" xr:uid="{00000000-0005-0000-0000-0000A9050000}"/>
    <cellStyle name="20% - Accent2 4 2 5" xfId="7866" xr:uid="{00000000-0005-0000-0000-0000AA050000}"/>
    <cellStyle name="20% - Accent2 4 2 5 2" xfId="7867" xr:uid="{00000000-0005-0000-0000-0000AB050000}"/>
    <cellStyle name="20% - Accent2 4 2 5 3" xfId="7868" xr:uid="{00000000-0005-0000-0000-0000AC050000}"/>
    <cellStyle name="20% - Accent2 4 2 6" xfId="7869" xr:uid="{00000000-0005-0000-0000-0000AD050000}"/>
    <cellStyle name="20% - Accent2 4 2 6 2" xfId="7870" xr:uid="{00000000-0005-0000-0000-0000AE050000}"/>
    <cellStyle name="20% - Accent2 4 2 6 3" xfId="7871" xr:uid="{00000000-0005-0000-0000-0000AF050000}"/>
    <cellStyle name="20% - Accent2 4 2 7" xfId="7872" xr:uid="{00000000-0005-0000-0000-0000B0050000}"/>
    <cellStyle name="20% - Accent2 4 2 7 2" xfId="7873" xr:uid="{00000000-0005-0000-0000-0000B1050000}"/>
    <cellStyle name="20% - Accent2 4 2 7 3" xfId="7874" xr:uid="{00000000-0005-0000-0000-0000B2050000}"/>
    <cellStyle name="20% - Accent2 4 2 8" xfId="7875" xr:uid="{00000000-0005-0000-0000-0000B3050000}"/>
    <cellStyle name="20% - Accent2 4 2 8 2" xfId="7876" xr:uid="{00000000-0005-0000-0000-0000B4050000}"/>
    <cellStyle name="20% - Accent2 4 2 8 3" xfId="7877" xr:uid="{00000000-0005-0000-0000-0000B5050000}"/>
    <cellStyle name="20% - Accent2 4 2 9" xfId="7878" xr:uid="{00000000-0005-0000-0000-0000B6050000}"/>
    <cellStyle name="20% - Accent2 4 2 9 2" xfId="7879" xr:uid="{00000000-0005-0000-0000-0000B7050000}"/>
    <cellStyle name="20% - Accent2 4 2 9 3" xfId="7880" xr:uid="{00000000-0005-0000-0000-0000B8050000}"/>
    <cellStyle name="20% - Accent2 4 20" xfId="7814" xr:uid="{00000000-0005-0000-0000-0000B9050000}"/>
    <cellStyle name="20% - Accent2 4 20 2" xfId="25324" xr:uid="{00000000-0005-0000-0000-0000BA050000}"/>
    <cellStyle name="20% - Accent2 4 21" xfId="28258" xr:uid="{00000000-0005-0000-0000-0000BB050000}"/>
    <cellStyle name="20% - Accent2 4 3" xfId="1619" xr:uid="{00000000-0005-0000-0000-0000BC050000}"/>
    <cellStyle name="20% - Accent2 4 3 2" xfId="4280" xr:uid="{00000000-0005-0000-0000-0000BD050000}"/>
    <cellStyle name="20% - Accent2 4 3 2 2" xfId="7881" xr:uid="{00000000-0005-0000-0000-0000BE050000}"/>
    <cellStyle name="20% - Accent2 4 3 3" xfId="7882" xr:uid="{00000000-0005-0000-0000-0000BF050000}"/>
    <cellStyle name="20% - Accent2 4 3 4" xfId="7883" xr:uid="{00000000-0005-0000-0000-0000C0050000}"/>
    <cellStyle name="20% - Accent2 4 3 5" xfId="7884" xr:uid="{00000000-0005-0000-0000-0000C1050000}"/>
    <cellStyle name="20% - Accent2 4 4" xfId="1803" xr:uid="{00000000-0005-0000-0000-0000C2050000}"/>
    <cellStyle name="20% - Accent2 4 4 2" xfId="7885" xr:uid="{00000000-0005-0000-0000-0000C3050000}"/>
    <cellStyle name="20% - Accent2 4 4 3" xfId="7886" xr:uid="{00000000-0005-0000-0000-0000C4050000}"/>
    <cellStyle name="20% - Accent2 4 4 4" xfId="7887" xr:uid="{00000000-0005-0000-0000-0000C5050000}"/>
    <cellStyle name="20% - Accent2 4 5" xfId="2139" xr:uid="{00000000-0005-0000-0000-0000C6050000}"/>
    <cellStyle name="20% - Accent2 4 5 2" xfId="7888" xr:uid="{00000000-0005-0000-0000-0000C7050000}"/>
    <cellStyle name="20% - Accent2 4 5 3" xfId="7889" xr:uid="{00000000-0005-0000-0000-0000C8050000}"/>
    <cellStyle name="20% - Accent2 4 5 4" xfId="7890" xr:uid="{00000000-0005-0000-0000-0000C9050000}"/>
    <cellStyle name="20% - Accent2 4 6" xfId="2513" xr:uid="{00000000-0005-0000-0000-0000CA050000}"/>
    <cellStyle name="20% - Accent2 4 6 2" xfId="7891" xr:uid="{00000000-0005-0000-0000-0000CB050000}"/>
    <cellStyle name="20% - Accent2 4 6 3" xfId="7892" xr:uid="{00000000-0005-0000-0000-0000CC050000}"/>
    <cellStyle name="20% - Accent2 4 6 4" xfId="7893" xr:uid="{00000000-0005-0000-0000-0000CD050000}"/>
    <cellStyle name="20% - Accent2 4 7" xfId="2885" xr:uid="{00000000-0005-0000-0000-0000CE050000}"/>
    <cellStyle name="20% - Accent2 4 7 2" xfId="7894" xr:uid="{00000000-0005-0000-0000-0000CF050000}"/>
    <cellStyle name="20% - Accent2 4 7 3" xfId="7895" xr:uid="{00000000-0005-0000-0000-0000D0050000}"/>
    <cellStyle name="20% - Accent2 4 7 4" xfId="7896" xr:uid="{00000000-0005-0000-0000-0000D1050000}"/>
    <cellStyle name="20% - Accent2 4 8" xfId="3256" xr:uid="{00000000-0005-0000-0000-0000D2050000}"/>
    <cellStyle name="20% - Accent2 4 8 2" xfId="7897" xr:uid="{00000000-0005-0000-0000-0000D3050000}"/>
    <cellStyle name="20% - Accent2 4 8 3" xfId="7898" xr:uid="{00000000-0005-0000-0000-0000D4050000}"/>
    <cellStyle name="20% - Accent2 4 8 4" xfId="7899" xr:uid="{00000000-0005-0000-0000-0000D5050000}"/>
    <cellStyle name="20% - Accent2 4 9" xfId="3583" xr:uid="{00000000-0005-0000-0000-0000D6050000}"/>
    <cellStyle name="20% - Accent2 4 9 2" xfId="4281" xr:uid="{00000000-0005-0000-0000-0000D7050000}"/>
    <cellStyle name="20% - Accent2 4 9 2 2" xfId="7900" xr:uid="{00000000-0005-0000-0000-0000D8050000}"/>
    <cellStyle name="20% - Accent2 4 9 3" xfId="7901" xr:uid="{00000000-0005-0000-0000-0000D9050000}"/>
    <cellStyle name="20% - Accent2 4 9 4" xfId="7902" xr:uid="{00000000-0005-0000-0000-0000DA050000}"/>
    <cellStyle name="20% - Accent2 4 9 5" xfId="7903" xr:uid="{00000000-0005-0000-0000-0000DB050000}"/>
    <cellStyle name="20% - Accent2 5" xfId="363" xr:uid="{00000000-0005-0000-0000-0000DC050000}"/>
    <cellStyle name="20% - Accent2 5 10" xfId="7904" xr:uid="{00000000-0005-0000-0000-0000DD050000}"/>
    <cellStyle name="20% - Accent2 5 10 2" xfId="7905" xr:uid="{00000000-0005-0000-0000-0000DE050000}"/>
    <cellStyle name="20% - Accent2 5 10 3" xfId="7906" xr:uid="{00000000-0005-0000-0000-0000DF050000}"/>
    <cellStyle name="20% - Accent2 5 11" xfId="7907" xr:uid="{00000000-0005-0000-0000-0000E0050000}"/>
    <cellStyle name="20% - Accent2 5 11 2" xfId="7908" xr:uid="{00000000-0005-0000-0000-0000E1050000}"/>
    <cellStyle name="20% - Accent2 5 11 3" xfId="7909" xr:uid="{00000000-0005-0000-0000-0000E2050000}"/>
    <cellStyle name="20% - Accent2 5 12" xfId="7910" xr:uid="{00000000-0005-0000-0000-0000E3050000}"/>
    <cellStyle name="20% - Accent2 5 12 2" xfId="7911" xr:uid="{00000000-0005-0000-0000-0000E4050000}"/>
    <cellStyle name="20% - Accent2 5 12 3" xfId="7912" xr:uid="{00000000-0005-0000-0000-0000E5050000}"/>
    <cellStyle name="20% - Accent2 5 13" xfId="7913" xr:uid="{00000000-0005-0000-0000-0000E6050000}"/>
    <cellStyle name="20% - Accent2 5 13 2" xfId="7914" xr:uid="{00000000-0005-0000-0000-0000E7050000}"/>
    <cellStyle name="20% - Accent2 5 13 3" xfId="7915" xr:uid="{00000000-0005-0000-0000-0000E8050000}"/>
    <cellStyle name="20% - Accent2 5 14" xfId="7916" xr:uid="{00000000-0005-0000-0000-0000E9050000}"/>
    <cellStyle name="20% - Accent2 5 15" xfId="7917" xr:uid="{00000000-0005-0000-0000-0000EA050000}"/>
    <cellStyle name="20% - Accent2 5 16" xfId="7918" xr:uid="{00000000-0005-0000-0000-0000EB050000}"/>
    <cellStyle name="20% - Accent2 5 17" xfId="7919" xr:uid="{00000000-0005-0000-0000-0000EC050000}"/>
    <cellStyle name="20% - Accent2 5 2" xfId="1880" xr:uid="{00000000-0005-0000-0000-0000ED050000}"/>
    <cellStyle name="20% - Accent2 5 2 10" xfId="7920" xr:uid="{00000000-0005-0000-0000-0000EE050000}"/>
    <cellStyle name="20% - Accent2 5 2 10 2" xfId="7921" xr:uid="{00000000-0005-0000-0000-0000EF050000}"/>
    <cellStyle name="20% - Accent2 5 2 10 3" xfId="7922" xr:uid="{00000000-0005-0000-0000-0000F0050000}"/>
    <cellStyle name="20% - Accent2 5 2 11" xfId="7923" xr:uid="{00000000-0005-0000-0000-0000F1050000}"/>
    <cellStyle name="20% - Accent2 5 2 11 2" xfId="7924" xr:uid="{00000000-0005-0000-0000-0000F2050000}"/>
    <cellStyle name="20% - Accent2 5 2 11 3" xfId="7925" xr:uid="{00000000-0005-0000-0000-0000F3050000}"/>
    <cellStyle name="20% - Accent2 5 2 12" xfId="7926" xr:uid="{00000000-0005-0000-0000-0000F4050000}"/>
    <cellStyle name="20% - Accent2 5 2 12 2" xfId="7927" xr:uid="{00000000-0005-0000-0000-0000F5050000}"/>
    <cellStyle name="20% - Accent2 5 2 12 3" xfId="7928" xr:uid="{00000000-0005-0000-0000-0000F6050000}"/>
    <cellStyle name="20% - Accent2 5 2 13" xfId="7929" xr:uid="{00000000-0005-0000-0000-0000F7050000}"/>
    <cellStyle name="20% - Accent2 5 2 14" xfId="7930" xr:uid="{00000000-0005-0000-0000-0000F8050000}"/>
    <cellStyle name="20% - Accent2 5 2 15" xfId="7931" xr:uid="{00000000-0005-0000-0000-0000F9050000}"/>
    <cellStyle name="20% - Accent2 5 2 2" xfId="7932" xr:uid="{00000000-0005-0000-0000-0000FA050000}"/>
    <cellStyle name="20% - Accent2 5 2 2 2" xfId="7933" xr:uid="{00000000-0005-0000-0000-0000FB050000}"/>
    <cellStyle name="20% - Accent2 5 2 2 3" xfId="7934" xr:uid="{00000000-0005-0000-0000-0000FC050000}"/>
    <cellStyle name="20% - Accent2 5 2 3" xfId="7935" xr:uid="{00000000-0005-0000-0000-0000FD050000}"/>
    <cellStyle name="20% - Accent2 5 2 3 2" xfId="7936" xr:uid="{00000000-0005-0000-0000-0000FE050000}"/>
    <cellStyle name="20% - Accent2 5 2 3 3" xfId="7937" xr:uid="{00000000-0005-0000-0000-0000FF050000}"/>
    <cellStyle name="20% - Accent2 5 2 4" xfId="7938" xr:uid="{00000000-0005-0000-0000-000000060000}"/>
    <cellStyle name="20% - Accent2 5 2 4 2" xfId="7939" xr:uid="{00000000-0005-0000-0000-000001060000}"/>
    <cellStyle name="20% - Accent2 5 2 4 3" xfId="7940" xr:uid="{00000000-0005-0000-0000-000002060000}"/>
    <cellStyle name="20% - Accent2 5 2 5" xfId="7941" xr:uid="{00000000-0005-0000-0000-000003060000}"/>
    <cellStyle name="20% - Accent2 5 2 5 2" xfId="7942" xr:uid="{00000000-0005-0000-0000-000004060000}"/>
    <cellStyle name="20% - Accent2 5 2 5 3" xfId="7943" xr:uid="{00000000-0005-0000-0000-000005060000}"/>
    <cellStyle name="20% - Accent2 5 2 6" xfId="7944" xr:uid="{00000000-0005-0000-0000-000006060000}"/>
    <cellStyle name="20% - Accent2 5 2 6 2" xfId="7945" xr:uid="{00000000-0005-0000-0000-000007060000}"/>
    <cellStyle name="20% - Accent2 5 2 6 3" xfId="7946" xr:uid="{00000000-0005-0000-0000-000008060000}"/>
    <cellStyle name="20% - Accent2 5 2 7" xfId="7947" xr:uid="{00000000-0005-0000-0000-000009060000}"/>
    <cellStyle name="20% - Accent2 5 2 7 2" xfId="7948" xr:uid="{00000000-0005-0000-0000-00000A060000}"/>
    <cellStyle name="20% - Accent2 5 2 7 3" xfId="7949" xr:uid="{00000000-0005-0000-0000-00000B060000}"/>
    <cellStyle name="20% - Accent2 5 2 8" xfId="7950" xr:uid="{00000000-0005-0000-0000-00000C060000}"/>
    <cellStyle name="20% - Accent2 5 2 8 2" xfId="7951" xr:uid="{00000000-0005-0000-0000-00000D060000}"/>
    <cellStyle name="20% - Accent2 5 2 8 3" xfId="7952" xr:uid="{00000000-0005-0000-0000-00000E060000}"/>
    <cellStyle name="20% - Accent2 5 2 9" xfId="7953" xr:uid="{00000000-0005-0000-0000-00000F060000}"/>
    <cellStyle name="20% - Accent2 5 2 9 2" xfId="7954" xr:uid="{00000000-0005-0000-0000-000010060000}"/>
    <cellStyle name="20% - Accent2 5 2 9 3" xfId="7955" xr:uid="{00000000-0005-0000-0000-000011060000}"/>
    <cellStyle name="20% - Accent2 5 3" xfId="2255" xr:uid="{00000000-0005-0000-0000-000012060000}"/>
    <cellStyle name="20% - Accent2 5 3 2" xfId="7956" xr:uid="{00000000-0005-0000-0000-000013060000}"/>
    <cellStyle name="20% - Accent2 5 3 3" xfId="7957" xr:uid="{00000000-0005-0000-0000-000014060000}"/>
    <cellStyle name="20% - Accent2 5 3 4" xfId="7958" xr:uid="{00000000-0005-0000-0000-000015060000}"/>
    <cellStyle name="20% - Accent2 5 4" xfId="2628" xr:uid="{00000000-0005-0000-0000-000016060000}"/>
    <cellStyle name="20% - Accent2 5 4 2" xfId="7959" xr:uid="{00000000-0005-0000-0000-000017060000}"/>
    <cellStyle name="20% - Accent2 5 4 3" xfId="7960" xr:uid="{00000000-0005-0000-0000-000018060000}"/>
    <cellStyle name="20% - Accent2 5 4 4" xfId="7961" xr:uid="{00000000-0005-0000-0000-000019060000}"/>
    <cellStyle name="20% - Accent2 5 5" xfId="3001" xr:uid="{00000000-0005-0000-0000-00001A060000}"/>
    <cellStyle name="20% - Accent2 5 5 2" xfId="7962" xr:uid="{00000000-0005-0000-0000-00001B060000}"/>
    <cellStyle name="20% - Accent2 5 5 3" xfId="7963" xr:uid="{00000000-0005-0000-0000-00001C060000}"/>
    <cellStyle name="20% - Accent2 5 5 4" xfId="7964" xr:uid="{00000000-0005-0000-0000-00001D060000}"/>
    <cellStyle name="20% - Accent2 5 6" xfId="3372" xr:uid="{00000000-0005-0000-0000-00001E060000}"/>
    <cellStyle name="20% - Accent2 5 6 2" xfId="7965" xr:uid="{00000000-0005-0000-0000-00001F060000}"/>
    <cellStyle name="20% - Accent2 5 6 3" xfId="7966" xr:uid="{00000000-0005-0000-0000-000020060000}"/>
    <cellStyle name="20% - Accent2 5 6 4" xfId="7967" xr:uid="{00000000-0005-0000-0000-000021060000}"/>
    <cellStyle name="20% - Accent2 5 7" xfId="4282" xr:uid="{00000000-0005-0000-0000-000022060000}"/>
    <cellStyle name="20% - Accent2 5 7 2" xfId="7969" xr:uid="{00000000-0005-0000-0000-000023060000}"/>
    <cellStyle name="20% - Accent2 5 7 3" xfId="7970" xr:uid="{00000000-0005-0000-0000-000024060000}"/>
    <cellStyle name="20% - Accent2 5 7 4" xfId="7968" xr:uid="{00000000-0005-0000-0000-000025060000}"/>
    <cellStyle name="20% - Accent2 5 8" xfId="7971" xr:uid="{00000000-0005-0000-0000-000026060000}"/>
    <cellStyle name="20% - Accent2 5 8 2" xfId="7972" xr:uid="{00000000-0005-0000-0000-000027060000}"/>
    <cellStyle name="20% - Accent2 5 8 3" xfId="7973" xr:uid="{00000000-0005-0000-0000-000028060000}"/>
    <cellStyle name="20% - Accent2 5 9" xfId="7974" xr:uid="{00000000-0005-0000-0000-000029060000}"/>
    <cellStyle name="20% - Accent2 5 9 2" xfId="7975" xr:uid="{00000000-0005-0000-0000-00002A060000}"/>
    <cellStyle name="20% - Accent2 5 9 3" xfId="7976" xr:uid="{00000000-0005-0000-0000-00002B060000}"/>
    <cellStyle name="20% - Accent2 6" xfId="364" xr:uid="{00000000-0005-0000-0000-00002C060000}"/>
    <cellStyle name="20% - Accent2 6 10" xfId="5320" xr:uid="{00000000-0005-0000-0000-00002D060000}"/>
    <cellStyle name="20% - Accent2 6 10 2" xfId="5989" xr:uid="{00000000-0005-0000-0000-00002E060000}"/>
    <cellStyle name="20% - Accent2 6 10 2 2" xfId="7979" xr:uid="{00000000-0005-0000-0000-00002F060000}"/>
    <cellStyle name="20% - Accent2 6 10 2 3" xfId="25327" xr:uid="{00000000-0005-0000-0000-000030060000}"/>
    <cellStyle name="20% - Accent2 6 10 3" xfId="7980" xr:uid="{00000000-0005-0000-0000-000031060000}"/>
    <cellStyle name="20% - Accent2 6 10 4" xfId="7978" xr:uid="{00000000-0005-0000-0000-000032060000}"/>
    <cellStyle name="20% - Accent2 6 10 5" xfId="25326" xr:uid="{00000000-0005-0000-0000-000033060000}"/>
    <cellStyle name="20% - Accent2 6 11" xfId="5630" xr:uid="{00000000-0005-0000-0000-000034060000}"/>
    <cellStyle name="20% - Accent2 6 11 2" xfId="5990" xr:uid="{00000000-0005-0000-0000-000035060000}"/>
    <cellStyle name="20% - Accent2 6 11 2 2" xfId="7982" xr:uid="{00000000-0005-0000-0000-000036060000}"/>
    <cellStyle name="20% - Accent2 6 11 2 3" xfId="25329" xr:uid="{00000000-0005-0000-0000-000037060000}"/>
    <cellStyle name="20% - Accent2 6 11 3" xfId="7983" xr:uid="{00000000-0005-0000-0000-000038060000}"/>
    <cellStyle name="20% - Accent2 6 11 4" xfId="7981" xr:uid="{00000000-0005-0000-0000-000039060000}"/>
    <cellStyle name="20% - Accent2 6 11 5" xfId="25328" xr:uid="{00000000-0005-0000-0000-00003A060000}"/>
    <cellStyle name="20% - Accent2 6 12" xfId="4283" xr:uid="{00000000-0005-0000-0000-00003B060000}"/>
    <cellStyle name="20% - Accent2 6 12 2" xfId="5991" xr:uid="{00000000-0005-0000-0000-00003C060000}"/>
    <cellStyle name="20% - Accent2 6 12 2 2" xfId="7985" xr:uid="{00000000-0005-0000-0000-00003D060000}"/>
    <cellStyle name="20% - Accent2 6 12 2 3" xfId="25331" xr:uid="{00000000-0005-0000-0000-00003E060000}"/>
    <cellStyle name="20% - Accent2 6 12 3" xfId="7986" xr:uid="{00000000-0005-0000-0000-00003F060000}"/>
    <cellStyle name="20% - Accent2 6 12 4" xfId="7984" xr:uid="{00000000-0005-0000-0000-000040060000}"/>
    <cellStyle name="20% - Accent2 6 12 5" xfId="25330" xr:uid="{00000000-0005-0000-0000-000041060000}"/>
    <cellStyle name="20% - Accent2 6 13" xfId="5988" xr:uid="{00000000-0005-0000-0000-000042060000}"/>
    <cellStyle name="20% - Accent2 6 13 2" xfId="7987" xr:uid="{00000000-0005-0000-0000-000043060000}"/>
    <cellStyle name="20% - Accent2 6 13 3" xfId="25332" xr:uid="{00000000-0005-0000-0000-000044060000}"/>
    <cellStyle name="20% - Accent2 6 14" xfId="7988" xr:uid="{00000000-0005-0000-0000-000045060000}"/>
    <cellStyle name="20% - Accent2 6 15" xfId="7989" xr:uid="{00000000-0005-0000-0000-000046060000}"/>
    <cellStyle name="20% - Accent2 6 16" xfId="7990" xr:uid="{00000000-0005-0000-0000-000047060000}"/>
    <cellStyle name="20% - Accent2 6 16 2" xfId="7991" xr:uid="{00000000-0005-0000-0000-000048060000}"/>
    <cellStyle name="20% - Accent2 6 16 2 2" xfId="25334" xr:uid="{00000000-0005-0000-0000-000049060000}"/>
    <cellStyle name="20% - Accent2 6 16 2 3" xfId="28274" xr:uid="{00000000-0005-0000-0000-00004A060000}"/>
    <cellStyle name="20% - Accent2 6 16 3" xfId="7992" xr:uid="{00000000-0005-0000-0000-00004B060000}"/>
    <cellStyle name="20% - Accent2 6 16 3 2" xfId="25335" xr:uid="{00000000-0005-0000-0000-00004C060000}"/>
    <cellStyle name="20% - Accent2 6 16 3 3" xfId="28275" xr:uid="{00000000-0005-0000-0000-00004D060000}"/>
    <cellStyle name="20% - Accent2 6 16 4" xfId="25333" xr:uid="{00000000-0005-0000-0000-00004E060000}"/>
    <cellStyle name="20% - Accent2 6 16 5" xfId="28273" xr:uid="{00000000-0005-0000-0000-00004F060000}"/>
    <cellStyle name="20% - Accent2 6 17" xfId="7993" xr:uid="{00000000-0005-0000-0000-000050060000}"/>
    <cellStyle name="20% - Accent2 6 17 2" xfId="25336" xr:uid="{00000000-0005-0000-0000-000051060000}"/>
    <cellStyle name="20% - Accent2 6 17 3" xfId="28276" xr:uid="{00000000-0005-0000-0000-000052060000}"/>
    <cellStyle name="20% - Accent2 6 18" xfId="7994" xr:uid="{00000000-0005-0000-0000-000053060000}"/>
    <cellStyle name="20% - Accent2 6 18 2" xfId="25337" xr:uid="{00000000-0005-0000-0000-000054060000}"/>
    <cellStyle name="20% - Accent2 6 18 3" xfId="28277" xr:uid="{00000000-0005-0000-0000-000055060000}"/>
    <cellStyle name="20% - Accent2 6 19" xfId="7977" xr:uid="{00000000-0005-0000-0000-000056060000}"/>
    <cellStyle name="20% - Accent2 6 19 2" xfId="25338" xr:uid="{00000000-0005-0000-0000-000057060000}"/>
    <cellStyle name="20% - Accent2 6 2" xfId="1970" xr:uid="{00000000-0005-0000-0000-000058060000}"/>
    <cellStyle name="20% - Accent2 6 2 2" xfId="4284" xr:uid="{00000000-0005-0000-0000-000059060000}"/>
    <cellStyle name="20% - Accent2 6 2 2 2" xfId="7995" xr:uid="{00000000-0005-0000-0000-00005A060000}"/>
    <cellStyle name="20% - Accent2 6 2 3" xfId="7996" xr:uid="{00000000-0005-0000-0000-00005B060000}"/>
    <cellStyle name="20% - Accent2 6 2 4" xfId="7997" xr:uid="{00000000-0005-0000-0000-00005C060000}"/>
    <cellStyle name="20% - Accent2 6 2 5" xfId="7998" xr:uid="{00000000-0005-0000-0000-00005D060000}"/>
    <cellStyle name="20% - Accent2 6 20" xfId="24832" xr:uid="{00000000-0005-0000-0000-00005E060000}"/>
    <cellStyle name="20% - Accent2 6 21" xfId="25325" xr:uid="{00000000-0005-0000-0000-00005F060000}"/>
    <cellStyle name="20% - Accent2 6 22" xfId="28272" xr:uid="{00000000-0005-0000-0000-000060060000}"/>
    <cellStyle name="20% - Accent2 6 3" xfId="2345" xr:uid="{00000000-0005-0000-0000-000061060000}"/>
    <cellStyle name="20% - Accent2 6 3 2" xfId="4285" xr:uid="{00000000-0005-0000-0000-000062060000}"/>
    <cellStyle name="20% - Accent2 6 3 2 2" xfId="7999" xr:uid="{00000000-0005-0000-0000-000063060000}"/>
    <cellStyle name="20% - Accent2 6 3 3" xfId="8000" xr:uid="{00000000-0005-0000-0000-000064060000}"/>
    <cellStyle name="20% - Accent2 6 3 4" xfId="8001" xr:uid="{00000000-0005-0000-0000-000065060000}"/>
    <cellStyle name="20% - Accent2 6 3 5" xfId="8002" xr:uid="{00000000-0005-0000-0000-000066060000}"/>
    <cellStyle name="20% - Accent2 6 4" xfId="2718" xr:uid="{00000000-0005-0000-0000-000067060000}"/>
    <cellStyle name="20% - Accent2 6 4 2" xfId="4286" xr:uid="{00000000-0005-0000-0000-000068060000}"/>
    <cellStyle name="20% - Accent2 6 4 2 2" xfId="8003" xr:uid="{00000000-0005-0000-0000-000069060000}"/>
    <cellStyle name="20% - Accent2 6 4 3" xfId="8004" xr:uid="{00000000-0005-0000-0000-00006A060000}"/>
    <cellStyle name="20% - Accent2 6 4 4" xfId="8005" xr:uid="{00000000-0005-0000-0000-00006B060000}"/>
    <cellStyle name="20% - Accent2 6 4 5" xfId="8006" xr:uid="{00000000-0005-0000-0000-00006C060000}"/>
    <cellStyle name="20% - Accent2 6 5" xfId="3091" xr:uid="{00000000-0005-0000-0000-00006D060000}"/>
    <cellStyle name="20% - Accent2 6 5 2" xfId="4287" xr:uid="{00000000-0005-0000-0000-00006E060000}"/>
    <cellStyle name="20% - Accent2 6 5 2 2" xfId="8007" xr:uid="{00000000-0005-0000-0000-00006F060000}"/>
    <cellStyle name="20% - Accent2 6 5 3" xfId="8008" xr:uid="{00000000-0005-0000-0000-000070060000}"/>
    <cellStyle name="20% - Accent2 6 5 4" xfId="8009" xr:uid="{00000000-0005-0000-0000-000071060000}"/>
    <cellStyle name="20% - Accent2 6 5 5" xfId="8010" xr:uid="{00000000-0005-0000-0000-000072060000}"/>
    <cellStyle name="20% - Accent2 6 6" xfId="3462" xr:uid="{00000000-0005-0000-0000-000073060000}"/>
    <cellStyle name="20% - Accent2 6 6 2" xfId="4288" xr:uid="{00000000-0005-0000-0000-000074060000}"/>
    <cellStyle name="20% - Accent2 6 6 2 2" xfId="8011" xr:uid="{00000000-0005-0000-0000-000075060000}"/>
    <cellStyle name="20% - Accent2 6 6 3" xfId="8012" xr:uid="{00000000-0005-0000-0000-000076060000}"/>
    <cellStyle name="20% - Accent2 6 6 4" xfId="8013" xr:uid="{00000000-0005-0000-0000-000077060000}"/>
    <cellStyle name="20% - Accent2 6 6 5" xfId="8014" xr:uid="{00000000-0005-0000-0000-000078060000}"/>
    <cellStyle name="20% - Accent2 6 7" xfId="3768" xr:uid="{00000000-0005-0000-0000-000079060000}"/>
    <cellStyle name="20% - Accent2 6 7 2" xfId="4289" xr:uid="{00000000-0005-0000-0000-00007A060000}"/>
    <cellStyle name="20% - Accent2 6 7 2 2" xfId="8015" xr:uid="{00000000-0005-0000-0000-00007B060000}"/>
    <cellStyle name="20% - Accent2 6 7 3" xfId="8016" xr:uid="{00000000-0005-0000-0000-00007C060000}"/>
    <cellStyle name="20% - Accent2 6 7 4" xfId="8017" xr:uid="{00000000-0005-0000-0000-00007D060000}"/>
    <cellStyle name="20% - Accent2 6 7 5" xfId="8018" xr:uid="{00000000-0005-0000-0000-00007E060000}"/>
    <cellStyle name="20% - Accent2 6 8" xfId="1358" xr:uid="{00000000-0005-0000-0000-00007F060000}"/>
    <cellStyle name="20% - Accent2 6 8 10" xfId="25339" xr:uid="{00000000-0005-0000-0000-000080060000}"/>
    <cellStyle name="20% - Accent2 6 8 11" xfId="28278" xr:uid="{00000000-0005-0000-0000-000081060000}"/>
    <cellStyle name="20% - Accent2 6 8 2" xfId="4158" xr:uid="{00000000-0005-0000-0000-000082060000}"/>
    <cellStyle name="20% - Accent2 6 8 2 2" xfId="5322" xr:uid="{00000000-0005-0000-0000-000083060000}"/>
    <cellStyle name="20% - Accent2 6 8 2 2 2" xfId="5994" xr:uid="{00000000-0005-0000-0000-000084060000}"/>
    <cellStyle name="20% - Accent2 6 8 2 2 2 2" xfId="25342" xr:uid="{00000000-0005-0000-0000-000085060000}"/>
    <cellStyle name="20% - Accent2 6 8 2 2 3" xfId="8021" xr:uid="{00000000-0005-0000-0000-000086060000}"/>
    <cellStyle name="20% - Accent2 6 8 2 2 4" xfId="25341" xr:uid="{00000000-0005-0000-0000-000087060000}"/>
    <cellStyle name="20% - Accent2 6 8 2 3" xfId="5632" xr:uid="{00000000-0005-0000-0000-000088060000}"/>
    <cellStyle name="20% - Accent2 6 8 2 3 2" xfId="5995" xr:uid="{00000000-0005-0000-0000-000089060000}"/>
    <cellStyle name="20% - Accent2 6 8 2 3 2 2" xfId="25344" xr:uid="{00000000-0005-0000-0000-00008A060000}"/>
    <cellStyle name="20% - Accent2 6 8 2 3 3" xfId="25343" xr:uid="{00000000-0005-0000-0000-00008B060000}"/>
    <cellStyle name="20% - Accent2 6 8 2 4" xfId="4291" xr:uid="{00000000-0005-0000-0000-00008C060000}"/>
    <cellStyle name="20% - Accent2 6 8 2 4 2" xfId="5996" xr:uid="{00000000-0005-0000-0000-00008D060000}"/>
    <cellStyle name="20% - Accent2 6 8 2 4 2 2" xfId="25346" xr:uid="{00000000-0005-0000-0000-00008E060000}"/>
    <cellStyle name="20% - Accent2 6 8 2 4 3" xfId="25345" xr:uid="{00000000-0005-0000-0000-00008F060000}"/>
    <cellStyle name="20% - Accent2 6 8 2 5" xfId="5993" xr:uid="{00000000-0005-0000-0000-000090060000}"/>
    <cellStyle name="20% - Accent2 6 8 2 5 2" xfId="25347" xr:uid="{00000000-0005-0000-0000-000091060000}"/>
    <cellStyle name="20% - Accent2 6 8 2 6" xfId="8020" xr:uid="{00000000-0005-0000-0000-000092060000}"/>
    <cellStyle name="20% - Accent2 6 8 2 6 2" xfId="25348" xr:uid="{00000000-0005-0000-0000-000093060000}"/>
    <cellStyle name="20% - Accent2 6 8 2 7" xfId="25010" xr:uid="{00000000-0005-0000-0000-000094060000}"/>
    <cellStyle name="20% - Accent2 6 8 2 8" xfId="25340" xr:uid="{00000000-0005-0000-0000-000095060000}"/>
    <cellStyle name="20% - Accent2 6 8 2 9" xfId="28279" xr:uid="{00000000-0005-0000-0000-000096060000}"/>
    <cellStyle name="20% - Accent2 6 8 3" xfId="5321" xr:uid="{00000000-0005-0000-0000-000097060000}"/>
    <cellStyle name="20% - Accent2 6 8 3 2" xfId="5997" xr:uid="{00000000-0005-0000-0000-000098060000}"/>
    <cellStyle name="20% - Accent2 6 8 3 2 2" xfId="25350" xr:uid="{00000000-0005-0000-0000-000099060000}"/>
    <cellStyle name="20% - Accent2 6 8 3 3" xfId="8022" xr:uid="{00000000-0005-0000-0000-00009A060000}"/>
    <cellStyle name="20% - Accent2 6 8 3 4" xfId="25349" xr:uid="{00000000-0005-0000-0000-00009B060000}"/>
    <cellStyle name="20% - Accent2 6 8 4" xfId="5631" xr:uid="{00000000-0005-0000-0000-00009C060000}"/>
    <cellStyle name="20% - Accent2 6 8 4 2" xfId="5998" xr:uid="{00000000-0005-0000-0000-00009D060000}"/>
    <cellStyle name="20% - Accent2 6 8 4 2 2" xfId="25352" xr:uid="{00000000-0005-0000-0000-00009E060000}"/>
    <cellStyle name="20% - Accent2 6 8 4 3" xfId="8023" xr:uid="{00000000-0005-0000-0000-00009F060000}"/>
    <cellStyle name="20% - Accent2 6 8 4 4" xfId="25351" xr:uid="{00000000-0005-0000-0000-0000A0060000}"/>
    <cellStyle name="20% - Accent2 6 8 5" xfId="4290" xr:uid="{00000000-0005-0000-0000-0000A1060000}"/>
    <cellStyle name="20% - Accent2 6 8 5 2" xfId="5999" xr:uid="{00000000-0005-0000-0000-0000A2060000}"/>
    <cellStyle name="20% - Accent2 6 8 5 2 2" xfId="8025" xr:uid="{00000000-0005-0000-0000-0000A3060000}"/>
    <cellStyle name="20% - Accent2 6 8 5 2 2 2" xfId="25355" xr:uid="{00000000-0005-0000-0000-0000A4060000}"/>
    <cellStyle name="20% - Accent2 6 8 5 2 3" xfId="25354" xr:uid="{00000000-0005-0000-0000-0000A5060000}"/>
    <cellStyle name="20% - Accent2 6 8 5 2 4" xfId="28281" xr:uid="{00000000-0005-0000-0000-0000A6060000}"/>
    <cellStyle name="20% - Accent2 6 8 5 3" xfId="8026" xr:uid="{00000000-0005-0000-0000-0000A7060000}"/>
    <cellStyle name="20% - Accent2 6 8 5 3 2" xfId="25356" xr:uid="{00000000-0005-0000-0000-0000A8060000}"/>
    <cellStyle name="20% - Accent2 6 8 5 3 3" xfId="28282" xr:uid="{00000000-0005-0000-0000-0000A9060000}"/>
    <cellStyle name="20% - Accent2 6 8 5 4" xfId="8024" xr:uid="{00000000-0005-0000-0000-0000AA060000}"/>
    <cellStyle name="20% - Accent2 6 8 5 4 2" xfId="25357" xr:uid="{00000000-0005-0000-0000-0000AB060000}"/>
    <cellStyle name="20% - Accent2 6 8 5 5" xfId="25353" xr:uid="{00000000-0005-0000-0000-0000AC060000}"/>
    <cellStyle name="20% - Accent2 6 8 5 6" xfId="28280" xr:uid="{00000000-0005-0000-0000-0000AD060000}"/>
    <cellStyle name="20% - Accent2 6 8 6" xfId="5992" xr:uid="{00000000-0005-0000-0000-0000AE060000}"/>
    <cellStyle name="20% - Accent2 6 8 6 2" xfId="8027" xr:uid="{00000000-0005-0000-0000-0000AF060000}"/>
    <cellStyle name="20% - Accent2 6 8 6 2 2" xfId="25359" xr:uid="{00000000-0005-0000-0000-0000B0060000}"/>
    <cellStyle name="20% - Accent2 6 8 6 3" xfId="25358" xr:uid="{00000000-0005-0000-0000-0000B1060000}"/>
    <cellStyle name="20% - Accent2 6 8 6 4" xfId="28283" xr:uid="{00000000-0005-0000-0000-0000B2060000}"/>
    <cellStyle name="20% - Accent2 6 8 7" xfId="8028" xr:uid="{00000000-0005-0000-0000-0000B3060000}"/>
    <cellStyle name="20% - Accent2 6 8 7 2" xfId="25360" xr:uid="{00000000-0005-0000-0000-0000B4060000}"/>
    <cellStyle name="20% - Accent2 6 8 7 3" xfId="28284" xr:uid="{00000000-0005-0000-0000-0000B5060000}"/>
    <cellStyle name="20% - Accent2 6 8 8" xfId="8019" xr:uid="{00000000-0005-0000-0000-0000B6060000}"/>
    <cellStyle name="20% - Accent2 6 8 8 2" xfId="25361" xr:uid="{00000000-0005-0000-0000-0000B7060000}"/>
    <cellStyle name="20% - Accent2 6 8 9" xfId="24890" xr:uid="{00000000-0005-0000-0000-0000B8060000}"/>
    <cellStyle name="20% - Accent2 6 9" xfId="3818" xr:uid="{00000000-0005-0000-0000-0000B9060000}"/>
    <cellStyle name="20% - Accent2 6 9 2" xfId="5323" xr:uid="{00000000-0005-0000-0000-0000BA060000}"/>
    <cellStyle name="20% - Accent2 6 9 2 2" xfId="6001" xr:uid="{00000000-0005-0000-0000-0000BB060000}"/>
    <cellStyle name="20% - Accent2 6 9 2 2 2" xfId="25364" xr:uid="{00000000-0005-0000-0000-0000BC060000}"/>
    <cellStyle name="20% - Accent2 6 9 2 3" xfId="8030" xr:uid="{00000000-0005-0000-0000-0000BD060000}"/>
    <cellStyle name="20% - Accent2 6 9 2 4" xfId="25363" xr:uid="{00000000-0005-0000-0000-0000BE060000}"/>
    <cellStyle name="20% - Accent2 6 9 3" xfId="5633" xr:uid="{00000000-0005-0000-0000-0000BF060000}"/>
    <cellStyle name="20% - Accent2 6 9 3 2" xfId="6002" xr:uid="{00000000-0005-0000-0000-0000C0060000}"/>
    <cellStyle name="20% - Accent2 6 9 3 2 2" xfId="25366" xr:uid="{00000000-0005-0000-0000-0000C1060000}"/>
    <cellStyle name="20% - Accent2 6 9 3 3" xfId="8031" xr:uid="{00000000-0005-0000-0000-0000C2060000}"/>
    <cellStyle name="20% - Accent2 6 9 3 4" xfId="25365" xr:uid="{00000000-0005-0000-0000-0000C3060000}"/>
    <cellStyle name="20% - Accent2 6 9 4" xfId="4292" xr:uid="{00000000-0005-0000-0000-0000C4060000}"/>
    <cellStyle name="20% - Accent2 6 9 4 2" xfId="6003" xr:uid="{00000000-0005-0000-0000-0000C5060000}"/>
    <cellStyle name="20% - Accent2 6 9 4 2 2" xfId="25368" xr:uid="{00000000-0005-0000-0000-0000C6060000}"/>
    <cellStyle name="20% - Accent2 6 9 4 3" xfId="8032" xr:uid="{00000000-0005-0000-0000-0000C7060000}"/>
    <cellStyle name="20% - Accent2 6 9 4 4" xfId="25367" xr:uid="{00000000-0005-0000-0000-0000C8060000}"/>
    <cellStyle name="20% - Accent2 6 9 5" xfId="6000" xr:uid="{00000000-0005-0000-0000-0000C9060000}"/>
    <cellStyle name="20% - Accent2 6 9 5 2" xfId="25369" xr:uid="{00000000-0005-0000-0000-0000CA060000}"/>
    <cellStyle name="20% - Accent2 6 9 6" xfId="8029" xr:uid="{00000000-0005-0000-0000-0000CB060000}"/>
    <cellStyle name="20% - Accent2 6 9 6 2" xfId="25370" xr:uid="{00000000-0005-0000-0000-0000CC060000}"/>
    <cellStyle name="20% - Accent2 6 9 7" xfId="24954" xr:uid="{00000000-0005-0000-0000-0000CD060000}"/>
    <cellStyle name="20% - Accent2 6 9 8" xfId="25362" xr:uid="{00000000-0005-0000-0000-0000CE060000}"/>
    <cellStyle name="20% - Accent2 6 9 9" xfId="28285" xr:uid="{00000000-0005-0000-0000-0000CF060000}"/>
    <cellStyle name="20% - Accent2 7" xfId="365" xr:uid="{00000000-0005-0000-0000-0000D0060000}"/>
    <cellStyle name="20% - Accent2 7 10" xfId="8033" xr:uid="{00000000-0005-0000-0000-0000D1060000}"/>
    <cellStyle name="20% - Accent2 7 10 2" xfId="8034" xr:uid="{00000000-0005-0000-0000-0000D2060000}"/>
    <cellStyle name="20% - Accent2 7 10 3" xfId="8035" xr:uid="{00000000-0005-0000-0000-0000D3060000}"/>
    <cellStyle name="20% - Accent2 7 11" xfId="8036" xr:uid="{00000000-0005-0000-0000-0000D4060000}"/>
    <cellStyle name="20% - Accent2 7 11 2" xfId="8037" xr:uid="{00000000-0005-0000-0000-0000D5060000}"/>
    <cellStyle name="20% - Accent2 7 11 3" xfId="8038" xr:uid="{00000000-0005-0000-0000-0000D6060000}"/>
    <cellStyle name="20% - Accent2 7 12" xfId="8039" xr:uid="{00000000-0005-0000-0000-0000D7060000}"/>
    <cellStyle name="20% - Accent2 7 12 2" xfId="8040" xr:uid="{00000000-0005-0000-0000-0000D8060000}"/>
    <cellStyle name="20% - Accent2 7 12 3" xfId="8041" xr:uid="{00000000-0005-0000-0000-0000D9060000}"/>
    <cellStyle name="20% - Accent2 7 13" xfId="8042" xr:uid="{00000000-0005-0000-0000-0000DA060000}"/>
    <cellStyle name="20% - Accent2 7 14" xfId="8043" xr:uid="{00000000-0005-0000-0000-0000DB060000}"/>
    <cellStyle name="20% - Accent2 7 15" xfId="8044" xr:uid="{00000000-0005-0000-0000-0000DC060000}"/>
    <cellStyle name="20% - Accent2 7 16" xfId="8045" xr:uid="{00000000-0005-0000-0000-0000DD060000}"/>
    <cellStyle name="20% - Accent2 7 2" xfId="4293" xr:uid="{00000000-0005-0000-0000-0000DE060000}"/>
    <cellStyle name="20% - Accent2 7 2 2" xfId="8047" xr:uid="{00000000-0005-0000-0000-0000DF060000}"/>
    <cellStyle name="20% - Accent2 7 2 3" xfId="8048" xr:uid="{00000000-0005-0000-0000-0000E0060000}"/>
    <cellStyle name="20% - Accent2 7 2 4" xfId="8046" xr:uid="{00000000-0005-0000-0000-0000E1060000}"/>
    <cellStyle name="20% - Accent2 7 3" xfId="8049" xr:uid="{00000000-0005-0000-0000-0000E2060000}"/>
    <cellStyle name="20% - Accent2 7 3 2" xfId="8050" xr:uid="{00000000-0005-0000-0000-0000E3060000}"/>
    <cellStyle name="20% - Accent2 7 3 3" xfId="8051" xr:uid="{00000000-0005-0000-0000-0000E4060000}"/>
    <cellStyle name="20% - Accent2 7 4" xfId="8052" xr:uid="{00000000-0005-0000-0000-0000E5060000}"/>
    <cellStyle name="20% - Accent2 7 4 2" xfId="8053" xr:uid="{00000000-0005-0000-0000-0000E6060000}"/>
    <cellStyle name="20% - Accent2 7 4 3" xfId="8054" xr:uid="{00000000-0005-0000-0000-0000E7060000}"/>
    <cellStyle name="20% - Accent2 7 5" xfId="8055" xr:uid="{00000000-0005-0000-0000-0000E8060000}"/>
    <cellStyle name="20% - Accent2 7 5 2" xfId="8056" xr:uid="{00000000-0005-0000-0000-0000E9060000}"/>
    <cellStyle name="20% - Accent2 7 5 3" xfId="8057" xr:uid="{00000000-0005-0000-0000-0000EA060000}"/>
    <cellStyle name="20% - Accent2 7 6" xfId="8058" xr:uid="{00000000-0005-0000-0000-0000EB060000}"/>
    <cellStyle name="20% - Accent2 7 6 2" xfId="8059" xr:uid="{00000000-0005-0000-0000-0000EC060000}"/>
    <cellStyle name="20% - Accent2 7 6 3" xfId="8060" xr:uid="{00000000-0005-0000-0000-0000ED060000}"/>
    <cellStyle name="20% - Accent2 7 7" xfId="8061" xr:uid="{00000000-0005-0000-0000-0000EE060000}"/>
    <cellStyle name="20% - Accent2 7 7 2" xfId="8062" xr:uid="{00000000-0005-0000-0000-0000EF060000}"/>
    <cellStyle name="20% - Accent2 7 7 3" xfId="8063" xr:uid="{00000000-0005-0000-0000-0000F0060000}"/>
    <cellStyle name="20% - Accent2 7 8" xfId="8064" xr:uid="{00000000-0005-0000-0000-0000F1060000}"/>
    <cellStyle name="20% - Accent2 7 8 2" xfId="8065" xr:uid="{00000000-0005-0000-0000-0000F2060000}"/>
    <cellStyle name="20% - Accent2 7 8 3" xfId="8066" xr:uid="{00000000-0005-0000-0000-0000F3060000}"/>
    <cellStyle name="20% - Accent2 7 9" xfId="8067" xr:uid="{00000000-0005-0000-0000-0000F4060000}"/>
    <cellStyle name="20% - Accent2 7 9 2" xfId="8068" xr:uid="{00000000-0005-0000-0000-0000F5060000}"/>
    <cellStyle name="20% - Accent2 7 9 3" xfId="8069" xr:uid="{00000000-0005-0000-0000-0000F6060000}"/>
    <cellStyle name="20% - Accent2 8" xfId="523" xr:uid="{00000000-0005-0000-0000-0000F7060000}"/>
    <cellStyle name="20% - Accent2 8 10" xfId="24846" xr:uid="{00000000-0005-0000-0000-0000F8060000}"/>
    <cellStyle name="20% - Accent2 8 11" xfId="25371" xr:uid="{00000000-0005-0000-0000-0000F9060000}"/>
    <cellStyle name="20% - Accent2 8 12" xfId="28286" xr:uid="{00000000-0005-0000-0000-0000FA060000}"/>
    <cellStyle name="20% - Accent2 8 2" xfId="1374" xr:uid="{00000000-0005-0000-0000-0000FB060000}"/>
    <cellStyle name="20% - Accent2 8 2 10" xfId="25372" xr:uid="{00000000-0005-0000-0000-0000FC060000}"/>
    <cellStyle name="20% - Accent2 8 2 11" xfId="28287" xr:uid="{00000000-0005-0000-0000-0000FD060000}"/>
    <cellStyle name="20% - Accent2 8 2 2" xfId="4174" xr:uid="{00000000-0005-0000-0000-0000FE060000}"/>
    <cellStyle name="20% - Accent2 8 2 2 2" xfId="5326" xr:uid="{00000000-0005-0000-0000-0000FF060000}"/>
    <cellStyle name="20% - Accent2 8 2 2 2 2" xfId="6007" xr:uid="{00000000-0005-0000-0000-000000070000}"/>
    <cellStyle name="20% - Accent2 8 2 2 2 2 2" xfId="25375" xr:uid="{00000000-0005-0000-0000-000001070000}"/>
    <cellStyle name="20% - Accent2 8 2 2 2 3" xfId="8073" xr:uid="{00000000-0005-0000-0000-000002070000}"/>
    <cellStyle name="20% - Accent2 8 2 2 2 4" xfId="25374" xr:uid="{00000000-0005-0000-0000-000003070000}"/>
    <cellStyle name="20% - Accent2 8 2 2 3" xfId="5636" xr:uid="{00000000-0005-0000-0000-000004070000}"/>
    <cellStyle name="20% - Accent2 8 2 2 3 2" xfId="6008" xr:uid="{00000000-0005-0000-0000-000005070000}"/>
    <cellStyle name="20% - Accent2 8 2 2 3 2 2" xfId="25377" xr:uid="{00000000-0005-0000-0000-000006070000}"/>
    <cellStyle name="20% - Accent2 8 2 2 3 3" xfId="25376" xr:uid="{00000000-0005-0000-0000-000007070000}"/>
    <cellStyle name="20% - Accent2 8 2 2 4" xfId="4296" xr:uid="{00000000-0005-0000-0000-000008070000}"/>
    <cellStyle name="20% - Accent2 8 2 2 4 2" xfId="6009" xr:uid="{00000000-0005-0000-0000-000009070000}"/>
    <cellStyle name="20% - Accent2 8 2 2 4 2 2" xfId="25379" xr:uid="{00000000-0005-0000-0000-00000A070000}"/>
    <cellStyle name="20% - Accent2 8 2 2 4 3" xfId="25378" xr:uid="{00000000-0005-0000-0000-00000B070000}"/>
    <cellStyle name="20% - Accent2 8 2 2 5" xfId="6006" xr:uid="{00000000-0005-0000-0000-00000C070000}"/>
    <cellStyle name="20% - Accent2 8 2 2 5 2" xfId="25380" xr:uid="{00000000-0005-0000-0000-00000D070000}"/>
    <cellStyle name="20% - Accent2 8 2 2 6" xfId="8072" xr:uid="{00000000-0005-0000-0000-00000E070000}"/>
    <cellStyle name="20% - Accent2 8 2 2 6 2" xfId="25381" xr:uid="{00000000-0005-0000-0000-00000F070000}"/>
    <cellStyle name="20% - Accent2 8 2 2 7" xfId="25026" xr:uid="{00000000-0005-0000-0000-000010070000}"/>
    <cellStyle name="20% - Accent2 8 2 2 8" xfId="25373" xr:uid="{00000000-0005-0000-0000-000011070000}"/>
    <cellStyle name="20% - Accent2 8 2 2 9" xfId="28288" xr:uid="{00000000-0005-0000-0000-000012070000}"/>
    <cellStyle name="20% - Accent2 8 2 3" xfId="5325" xr:uid="{00000000-0005-0000-0000-000013070000}"/>
    <cellStyle name="20% - Accent2 8 2 3 2" xfId="6010" xr:uid="{00000000-0005-0000-0000-000014070000}"/>
    <cellStyle name="20% - Accent2 8 2 3 2 2" xfId="25383" xr:uid="{00000000-0005-0000-0000-000015070000}"/>
    <cellStyle name="20% - Accent2 8 2 3 3" xfId="8074" xr:uid="{00000000-0005-0000-0000-000016070000}"/>
    <cellStyle name="20% - Accent2 8 2 3 4" xfId="25382" xr:uid="{00000000-0005-0000-0000-000017070000}"/>
    <cellStyle name="20% - Accent2 8 2 4" xfId="5635" xr:uid="{00000000-0005-0000-0000-000018070000}"/>
    <cellStyle name="20% - Accent2 8 2 4 2" xfId="6011" xr:uid="{00000000-0005-0000-0000-000019070000}"/>
    <cellStyle name="20% - Accent2 8 2 4 2 2" xfId="25385" xr:uid="{00000000-0005-0000-0000-00001A070000}"/>
    <cellStyle name="20% - Accent2 8 2 4 3" xfId="8075" xr:uid="{00000000-0005-0000-0000-00001B070000}"/>
    <cellStyle name="20% - Accent2 8 2 4 4" xfId="25384" xr:uid="{00000000-0005-0000-0000-00001C070000}"/>
    <cellStyle name="20% - Accent2 8 2 5" xfId="4295" xr:uid="{00000000-0005-0000-0000-00001D070000}"/>
    <cellStyle name="20% - Accent2 8 2 5 2" xfId="6012" xr:uid="{00000000-0005-0000-0000-00001E070000}"/>
    <cellStyle name="20% - Accent2 8 2 5 2 2" xfId="8077" xr:uid="{00000000-0005-0000-0000-00001F070000}"/>
    <cellStyle name="20% - Accent2 8 2 5 2 2 2" xfId="25388" xr:uid="{00000000-0005-0000-0000-000020070000}"/>
    <cellStyle name="20% - Accent2 8 2 5 2 3" xfId="25387" xr:uid="{00000000-0005-0000-0000-000021070000}"/>
    <cellStyle name="20% - Accent2 8 2 5 2 4" xfId="28290" xr:uid="{00000000-0005-0000-0000-000022070000}"/>
    <cellStyle name="20% - Accent2 8 2 5 3" xfId="8078" xr:uid="{00000000-0005-0000-0000-000023070000}"/>
    <cellStyle name="20% - Accent2 8 2 5 3 2" xfId="25389" xr:uid="{00000000-0005-0000-0000-000024070000}"/>
    <cellStyle name="20% - Accent2 8 2 5 3 3" xfId="28291" xr:uid="{00000000-0005-0000-0000-000025070000}"/>
    <cellStyle name="20% - Accent2 8 2 5 4" xfId="8076" xr:uid="{00000000-0005-0000-0000-000026070000}"/>
    <cellStyle name="20% - Accent2 8 2 5 4 2" xfId="25390" xr:uid="{00000000-0005-0000-0000-000027070000}"/>
    <cellStyle name="20% - Accent2 8 2 5 5" xfId="25386" xr:uid="{00000000-0005-0000-0000-000028070000}"/>
    <cellStyle name="20% - Accent2 8 2 5 6" xfId="28289" xr:uid="{00000000-0005-0000-0000-000029070000}"/>
    <cellStyle name="20% - Accent2 8 2 6" xfId="6005" xr:uid="{00000000-0005-0000-0000-00002A070000}"/>
    <cellStyle name="20% - Accent2 8 2 6 2" xfId="8079" xr:uid="{00000000-0005-0000-0000-00002B070000}"/>
    <cellStyle name="20% - Accent2 8 2 6 2 2" xfId="25392" xr:uid="{00000000-0005-0000-0000-00002C070000}"/>
    <cellStyle name="20% - Accent2 8 2 6 3" xfId="25391" xr:uid="{00000000-0005-0000-0000-00002D070000}"/>
    <cellStyle name="20% - Accent2 8 2 6 4" xfId="28292" xr:uid="{00000000-0005-0000-0000-00002E070000}"/>
    <cellStyle name="20% - Accent2 8 2 7" xfId="8080" xr:uid="{00000000-0005-0000-0000-00002F070000}"/>
    <cellStyle name="20% - Accent2 8 2 7 2" xfId="25393" xr:uid="{00000000-0005-0000-0000-000030070000}"/>
    <cellStyle name="20% - Accent2 8 2 7 3" xfId="28293" xr:uid="{00000000-0005-0000-0000-000031070000}"/>
    <cellStyle name="20% - Accent2 8 2 8" xfId="8071" xr:uid="{00000000-0005-0000-0000-000032070000}"/>
    <cellStyle name="20% - Accent2 8 2 8 2" xfId="25394" xr:uid="{00000000-0005-0000-0000-000033070000}"/>
    <cellStyle name="20% - Accent2 8 2 9" xfId="24906" xr:uid="{00000000-0005-0000-0000-000034070000}"/>
    <cellStyle name="20% - Accent2 8 3" xfId="3832" xr:uid="{00000000-0005-0000-0000-000035070000}"/>
    <cellStyle name="20% - Accent2 8 3 2" xfId="5327" xr:uid="{00000000-0005-0000-0000-000036070000}"/>
    <cellStyle name="20% - Accent2 8 3 2 2" xfId="6014" xr:uid="{00000000-0005-0000-0000-000037070000}"/>
    <cellStyle name="20% - Accent2 8 3 2 2 2" xfId="25397" xr:uid="{00000000-0005-0000-0000-000038070000}"/>
    <cellStyle name="20% - Accent2 8 3 2 3" xfId="8082" xr:uid="{00000000-0005-0000-0000-000039070000}"/>
    <cellStyle name="20% - Accent2 8 3 2 4" xfId="25396" xr:uid="{00000000-0005-0000-0000-00003A070000}"/>
    <cellStyle name="20% - Accent2 8 3 3" xfId="5637" xr:uid="{00000000-0005-0000-0000-00003B070000}"/>
    <cellStyle name="20% - Accent2 8 3 3 2" xfId="6015" xr:uid="{00000000-0005-0000-0000-00003C070000}"/>
    <cellStyle name="20% - Accent2 8 3 3 2 2" xfId="25399" xr:uid="{00000000-0005-0000-0000-00003D070000}"/>
    <cellStyle name="20% - Accent2 8 3 3 3" xfId="25398" xr:uid="{00000000-0005-0000-0000-00003E070000}"/>
    <cellStyle name="20% - Accent2 8 3 4" xfId="4297" xr:uid="{00000000-0005-0000-0000-00003F070000}"/>
    <cellStyle name="20% - Accent2 8 3 4 2" xfId="6016" xr:uid="{00000000-0005-0000-0000-000040070000}"/>
    <cellStyle name="20% - Accent2 8 3 4 2 2" xfId="25401" xr:uid="{00000000-0005-0000-0000-000041070000}"/>
    <cellStyle name="20% - Accent2 8 3 4 3" xfId="25400" xr:uid="{00000000-0005-0000-0000-000042070000}"/>
    <cellStyle name="20% - Accent2 8 3 5" xfId="6013" xr:uid="{00000000-0005-0000-0000-000043070000}"/>
    <cellStyle name="20% - Accent2 8 3 5 2" xfId="25402" xr:uid="{00000000-0005-0000-0000-000044070000}"/>
    <cellStyle name="20% - Accent2 8 3 6" xfId="8081" xr:uid="{00000000-0005-0000-0000-000045070000}"/>
    <cellStyle name="20% - Accent2 8 3 6 2" xfId="25403" xr:uid="{00000000-0005-0000-0000-000046070000}"/>
    <cellStyle name="20% - Accent2 8 3 7" xfId="24968" xr:uid="{00000000-0005-0000-0000-000047070000}"/>
    <cellStyle name="20% - Accent2 8 3 8" xfId="25395" xr:uid="{00000000-0005-0000-0000-000048070000}"/>
    <cellStyle name="20% - Accent2 8 3 9" xfId="28294" xr:uid="{00000000-0005-0000-0000-000049070000}"/>
    <cellStyle name="20% - Accent2 8 4" xfId="5324" xr:uid="{00000000-0005-0000-0000-00004A070000}"/>
    <cellStyle name="20% - Accent2 8 4 2" xfId="6017" xr:uid="{00000000-0005-0000-0000-00004B070000}"/>
    <cellStyle name="20% - Accent2 8 4 2 2" xfId="25405" xr:uid="{00000000-0005-0000-0000-00004C070000}"/>
    <cellStyle name="20% - Accent2 8 4 3" xfId="8083" xr:uid="{00000000-0005-0000-0000-00004D070000}"/>
    <cellStyle name="20% - Accent2 8 4 4" xfId="25404" xr:uid="{00000000-0005-0000-0000-00004E070000}"/>
    <cellStyle name="20% - Accent2 8 5" xfId="5634" xr:uid="{00000000-0005-0000-0000-00004F070000}"/>
    <cellStyle name="20% - Accent2 8 5 2" xfId="6018" xr:uid="{00000000-0005-0000-0000-000050070000}"/>
    <cellStyle name="20% - Accent2 8 5 2 2" xfId="25407" xr:uid="{00000000-0005-0000-0000-000051070000}"/>
    <cellStyle name="20% - Accent2 8 5 3" xfId="8084" xr:uid="{00000000-0005-0000-0000-000052070000}"/>
    <cellStyle name="20% - Accent2 8 5 4" xfId="25406" xr:uid="{00000000-0005-0000-0000-000053070000}"/>
    <cellStyle name="20% - Accent2 8 6" xfId="4294" xr:uid="{00000000-0005-0000-0000-000054070000}"/>
    <cellStyle name="20% - Accent2 8 6 2" xfId="6019" xr:uid="{00000000-0005-0000-0000-000055070000}"/>
    <cellStyle name="20% - Accent2 8 6 2 2" xfId="8086" xr:uid="{00000000-0005-0000-0000-000056070000}"/>
    <cellStyle name="20% - Accent2 8 6 2 2 2" xfId="25410" xr:uid="{00000000-0005-0000-0000-000057070000}"/>
    <cellStyle name="20% - Accent2 8 6 2 3" xfId="25409" xr:uid="{00000000-0005-0000-0000-000058070000}"/>
    <cellStyle name="20% - Accent2 8 6 2 4" xfId="28296" xr:uid="{00000000-0005-0000-0000-000059070000}"/>
    <cellStyle name="20% - Accent2 8 6 3" xfId="8087" xr:uid="{00000000-0005-0000-0000-00005A070000}"/>
    <cellStyle name="20% - Accent2 8 6 3 2" xfId="25411" xr:uid="{00000000-0005-0000-0000-00005B070000}"/>
    <cellStyle name="20% - Accent2 8 6 3 3" xfId="28297" xr:uid="{00000000-0005-0000-0000-00005C070000}"/>
    <cellStyle name="20% - Accent2 8 6 4" xfId="8085" xr:uid="{00000000-0005-0000-0000-00005D070000}"/>
    <cellStyle name="20% - Accent2 8 6 4 2" xfId="25412" xr:uid="{00000000-0005-0000-0000-00005E070000}"/>
    <cellStyle name="20% - Accent2 8 6 5" xfId="25408" xr:uid="{00000000-0005-0000-0000-00005F070000}"/>
    <cellStyle name="20% - Accent2 8 6 6" xfId="28295" xr:uid="{00000000-0005-0000-0000-000060070000}"/>
    <cellStyle name="20% - Accent2 8 7" xfId="6004" xr:uid="{00000000-0005-0000-0000-000061070000}"/>
    <cellStyle name="20% - Accent2 8 7 2" xfId="8088" xr:uid="{00000000-0005-0000-0000-000062070000}"/>
    <cellStyle name="20% - Accent2 8 7 2 2" xfId="25414" xr:uid="{00000000-0005-0000-0000-000063070000}"/>
    <cellStyle name="20% - Accent2 8 7 3" xfId="25413" xr:uid="{00000000-0005-0000-0000-000064070000}"/>
    <cellStyle name="20% - Accent2 8 7 4" xfId="28298" xr:uid="{00000000-0005-0000-0000-000065070000}"/>
    <cellStyle name="20% - Accent2 8 8" xfId="8089" xr:uid="{00000000-0005-0000-0000-000066070000}"/>
    <cellStyle name="20% - Accent2 8 8 2" xfId="25415" xr:uid="{00000000-0005-0000-0000-000067070000}"/>
    <cellStyle name="20% - Accent2 8 8 3" xfId="28299" xr:uid="{00000000-0005-0000-0000-000068070000}"/>
    <cellStyle name="20% - Accent2 8 9" xfId="8070" xr:uid="{00000000-0005-0000-0000-000069070000}"/>
    <cellStyle name="20% - Accent2 8 9 2" xfId="25416" xr:uid="{00000000-0005-0000-0000-00006A070000}"/>
    <cellStyle name="20% - Accent2 9" xfId="524" xr:uid="{00000000-0005-0000-0000-00006B070000}"/>
    <cellStyle name="20% - Accent2 9 2" xfId="4298" xr:uid="{00000000-0005-0000-0000-00006C070000}"/>
    <cellStyle name="20% - Accent2 9 2 2" xfId="8091" xr:uid="{00000000-0005-0000-0000-00006D070000}"/>
    <cellStyle name="20% - Accent2 9 2 3" xfId="8092" xr:uid="{00000000-0005-0000-0000-00006E070000}"/>
    <cellStyle name="20% - Accent2 9 2 4" xfId="8090" xr:uid="{00000000-0005-0000-0000-00006F070000}"/>
    <cellStyle name="20% - Accent2 9 3" xfId="8093" xr:uid="{00000000-0005-0000-0000-000070070000}"/>
    <cellStyle name="20% - Accent2 9 4" xfId="8094" xr:uid="{00000000-0005-0000-0000-000071070000}"/>
    <cellStyle name="20% - Accent2 9 5" xfId="8095" xr:uid="{00000000-0005-0000-0000-000072070000}"/>
    <cellStyle name="20% - Accent2 9 6" xfId="8096" xr:uid="{00000000-0005-0000-0000-000073070000}"/>
    <cellStyle name="20% - Accent3" xfId="7109" builtinId="38" customBuiltin="1"/>
    <cellStyle name="20% - Accent3 10" xfId="648" xr:uid="{00000000-0005-0000-0000-000075070000}"/>
    <cellStyle name="20% - Accent3 10 2" xfId="4299" xr:uid="{00000000-0005-0000-0000-000076070000}"/>
    <cellStyle name="20% - Accent3 10 2 2" xfId="8097" xr:uid="{00000000-0005-0000-0000-000077070000}"/>
    <cellStyle name="20% - Accent3 10 3" xfId="8098" xr:uid="{00000000-0005-0000-0000-000078070000}"/>
    <cellStyle name="20% - Accent3 10 4" xfId="8099" xr:uid="{00000000-0005-0000-0000-000079070000}"/>
    <cellStyle name="20% - Accent3 10 5" xfId="8100" xr:uid="{00000000-0005-0000-0000-00007A070000}"/>
    <cellStyle name="20% - Accent3 11" xfId="649" xr:uid="{00000000-0005-0000-0000-00007B070000}"/>
    <cellStyle name="20% - Accent3 11 2" xfId="4300" xr:uid="{00000000-0005-0000-0000-00007C070000}"/>
    <cellStyle name="20% - Accent3 11 2 2" xfId="8101" xr:uid="{00000000-0005-0000-0000-00007D070000}"/>
    <cellStyle name="20% - Accent3 11 3" xfId="8102" xr:uid="{00000000-0005-0000-0000-00007E070000}"/>
    <cellStyle name="20% - Accent3 11 4" xfId="8103" xr:uid="{00000000-0005-0000-0000-00007F070000}"/>
    <cellStyle name="20% - Accent3 11 5" xfId="8104" xr:uid="{00000000-0005-0000-0000-000080070000}"/>
    <cellStyle name="20% - Accent3 12" xfId="804" xr:uid="{00000000-0005-0000-0000-000081070000}"/>
    <cellStyle name="20% - Accent3 12 2" xfId="8106" xr:uid="{00000000-0005-0000-0000-000082070000}"/>
    <cellStyle name="20% - Accent3 12 3" xfId="8107" xr:uid="{00000000-0005-0000-0000-000083070000}"/>
    <cellStyle name="20% - Accent3 12 4" xfId="8105" xr:uid="{00000000-0005-0000-0000-000084070000}"/>
    <cellStyle name="20% - Accent3 13" xfId="805" xr:uid="{00000000-0005-0000-0000-000085070000}"/>
    <cellStyle name="20% - Accent3 13 2" xfId="3847" xr:uid="{00000000-0005-0000-0000-000086070000}"/>
    <cellStyle name="20% - Accent3 13 2 2" xfId="6021" xr:uid="{00000000-0005-0000-0000-000087070000}"/>
    <cellStyle name="20% - Accent3 13 2 2 2" xfId="25419" xr:uid="{00000000-0005-0000-0000-000088070000}"/>
    <cellStyle name="20% - Accent3 13 2 3" xfId="8109" xr:uid="{00000000-0005-0000-0000-000089070000}"/>
    <cellStyle name="20% - Accent3 13 2 4" xfId="24983" xr:uid="{00000000-0005-0000-0000-00008A070000}"/>
    <cellStyle name="20% - Accent3 13 2 5" xfId="25418" xr:uid="{00000000-0005-0000-0000-00008B070000}"/>
    <cellStyle name="20% - Accent3 13 3" xfId="6020" xr:uid="{00000000-0005-0000-0000-00008C070000}"/>
    <cellStyle name="20% - Accent3 13 3 2" xfId="8110" xr:uid="{00000000-0005-0000-0000-00008D070000}"/>
    <cellStyle name="20% - Accent3 13 3 3" xfId="25420" xr:uid="{00000000-0005-0000-0000-00008E070000}"/>
    <cellStyle name="20% - Accent3 13 4" xfId="8108" xr:uid="{00000000-0005-0000-0000-00008F070000}"/>
    <cellStyle name="20% - Accent3 13 5" xfId="24862" xr:uid="{00000000-0005-0000-0000-000090070000}"/>
    <cellStyle name="20% - Accent3 13 6" xfId="25417" xr:uid="{00000000-0005-0000-0000-000091070000}"/>
    <cellStyle name="20% - Accent3 14" xfId="925" xr:uid="{00000000-0005-0000-0000-000092070000}"/>
    <cellStyle name="20% - Accent3 14 2" xfId="8112" xr:uid="{00000000-0005-0000-0000-000093070000}"/>
    <cellStyle name="20% - Accent3 14 3" xfId="8113" xr:uid="{00000000-0005-0000-0000-000094070000}"/>
    <cellStyle name="20% - Accent3 14 4" xfId="8111" xr:uid="{00000000-0005-0000-0000-000095070000}"/>
    <cellStyle name="20% - Accent3 15" xfId="8114" xr:uid="{00000000-0005-0000-0000-000096070000}"/>
    <cellStyle name="20% - Accent3 15 2" xfId="8115" xr:uid="{00000000-0005-0000-0000-000097070000}"/>
    <cellStyle name="20% - Accent3 15 3" xfId="8116" xr:uid="{00000000-0005-0000-0000-000098070000}"/>
    <cellStyle name="20% - Accent3 16" xfId="8117" xr:uid="{00000000-0005-0000-0000-000099070000}"/>
    <cellStyle name="20% - Accent3 16 2" xfId="8118" xr:uid="{00000000-0005-0000-0000-00009A070000}"/>
    <cellStyle name="20% - Accent3 16 3" xfId="8119" xr:uid="{00000000-0005-0000-0000-00009B070000}"/>
    <cellStyle name="20% - Accent3 17" xfId="8120" xr:uid="{00000000-0005-0000-0000-00009C070000}"/>
    <cellStyle name="20% - Accent3 17 2" xfId="8121" xr:uid="{00000000-0005-0000-0000-00009D070000}"/>
    <cellStyle name="20% - Accent3 17 3" xfId="8122" xr:uid="{00000000-0005-0000-0000-00009E070000}"/>
    <cellStyle name="20% - Accent3 18" xfId="8123" xr:uid="{00000000-0005-0000-0000-00009F070000}"/>
    <cellStyle name="20% - Accent3 18 2" xfId="8124" xr:uid="{00000000-0005-0000-0000-0000A0070000}"/>
    <cellStyle name="20% - Accent3 18 3" xfId="8125" xr:uid="{00000000-0005-0000-0000-0000A1070000}"/>
    <cellStyle name="20% - Accent3 19" xfId="8126" xr:uid="{00000000-0005-0000-0000-0000A2070000}"/>
    <cellStyle name="20% - Accent3 19 2" xfId="8127" xr:uid="{00000000-0005-0000-0000-0000A3070000}"/>
    <cellStyle name="20% - Accent3 2" xfId="70" xr:uid="{00000000-0005-0000-0000-0000A4070000}"/>
    <cellStyle name="20% - Accent3 2 10" xfId="1669" xr:uid="{00000000-0005-0000-0000-0000A5070000}"/>
    <cellStyle name="20% - Accent3 2 10 2" xfId="4301" xr:uid="{00000000-0005-0000-0000-0000A6070000}"/>
    <cellStyle name="20% - Accent3 2 10 2 2" xfId="8128" xr:uid="{00000000-0005-0000-0000-0000A7070000}"/>
    <cellStyle name="20% - Accent3 2 10 3" xfId="8129" xr:uid="{00000000-0005-0000-0000-0000A8070000}"/>
    <cellStyle name="20% - Accent3 2 10 4" xfId="8130" xr:uid="{00000000-0005-0000-0000-0000A9070000}"/>
    <cellStyle name="20% - Accent3 2 10 5" xfId="8131" xr:uid="{00000000-0005-0000-0000-0000AA070000}"/>
    <cellStyle name="20% - Accent3 2 11" xfId="1664" xr:uid="{00000000-0005-0000-0000-0000AB070000}"/>
    <cellStyle name="20% - Accent3 2 11 2" xfId="4302" xr:uid="{00000000-0005-0000-0000-0000AC070000}"/>
    <cellStyle name="20% - Accent3 2 11 2 2" xfId="8132" xr:uid="{00000000-0005-0000-0000-0000AD070000}"/>
    <cellStyle name="20% - Accent3 2 11 3" xfId="8133" xr:uid="{00000000-0005-0000-0000-0000AE070000}"/>
    <cellStyle name="20% - Accent3 2 11 4" xfId="8134" xr:uid="{00000000-0005-0000-0000-0000AF070000}"/>
    <cellStyle name="20% - Accent3 2 11 5" xfId="8135" xr:uid="{00000000-0005-0000-0000-0000B0070000}"/>
    <cellStyle name="20% - Accent3 2 12" xfId="1706" xr:uid="{00000000-0005-0000-0000-0000B1070000}"/>
    <cellStyle name="20% - Accent3 2 12 2" xfId="4303" xr:uid="{00000000-0005-0000-0000-0000B2070000}"/>
    <cellStyle name="20% - Accent3 2 12 2 2" xfId="8136" xr:uid="{00000000-0005-0000-0000-0000B3070000}"/>
    <cellStyle name="20% - Accent3 2 12 3" xfId="8137" xr:uid="{00000000-0005-0000-0000-0000B4070000}"/>
    <cellStyle name="20% - Accent3 2 12 4" xfId="8138" xr:uid="{00000000-0005-0000-0000-0000B5070000}"/>
    <cellStyle name="20% - Accent3 2 12 5" xfId="8139" xr:uid="{00000000-0005-0000-0000-0000B6070000}"/>
    <cellStyle name="20% - Accent3 2 13" xfId="2041" xr:uid="{00000000-0005-0000-0000-0000B7070000}"/>
    <cellStyle name="20% - Accent3 2 13 2" xfId="4304" xr:uid="{00000000-0005-0000-0000-0000B8070000}"/>
    <cellStyle name="20% - Accent3 2 13 2 2" xfId="8140" xr:uid="{00000000-0005-0000-0000-0000B9070000}"/>
    <cellStyle name="20% - Accent3 2 13 3" xfId="8141" xr:uid="{00000000-0005-0000-0000-0000BA070000}"/>
    <cellStyle name="20% - Accent3 2 13 4" xfId="8142" xr:uid="{00000000-0005-0000-0000-0000BB070000}"/>
    <cellStyle name="20% - Accent3 2 13 5" xfId="8143" xr:uid="{00000000-0005-0000-0000-0000BC070000}"/>
    <cellStyle name="20% - Accent3 2 14" xfId="2416" xr:uid="{00000000-0005-0000-0000-0000BD070000}"/>
    <cellStyle name="20% - Accent3 2 14 2" xfId="4305" xr:uid="{00000000-0005-0000-0000-0000BE070000}"/>
    <cellStyle name="20% - Accent3 2 14 2 2" xfId="8144" xr:uid="{00000000-0005-0000-0000-0000BF070000}"/>
    <cellStyle name="20% - Accent3 2 14 3" xfId="8145" xr:uid="{00000000-0005-0000-0000-0000C0070000}"/>
    <cellStyle name="20% - Accent3 2 14 4" xfId="8146" xr:uid="{00000000-0005-0000-0000-0000C1070000}"/>
    <cellStyle name="20% - Accent3 2 14 5" xfId="8147" xr:uid="{00000000-0005-0000-0000-0000C2070000}"/>
    <cellStyle name="20% - Accent3 2 15" xfId="2788" xr:uid="{00000000-0005-0000-0000-0000C3070000}"/>
    <cellStyle name="20% - Accent3 2 15 2" xfId="4306" xr:uid="{00000000-0005-0000-0000-0000C4070000}"/>
    <cellStyle name="20% - Accent3 2 15 2 2" xfId="8148" xr:uid="{00000000-0005-0000-0000-0000C5070000}"/>
    <cellStyle name="20% - Accent3 2 15 3" xfId="8149" xr:uid="{00000000-0005-0000-0000-0000C6070000}"/>
    <cellStyle name="20% - Accent3 2 16" xfId="3634" xr:uid="{00000000-0005-0000-0000-0000C7070000}"/>
    <cellStyle name="20% - Accent3 2 16 2" xfId="4307" xr:uid="{00000000-0005-0000-0000-0000C8070000}"/>
    <cellStyle name="20% - Accent3 2 16 2 2" xfId="8150" xr:uid="{00000000-0005-0000-0000-0000C9070000}"/>
    <cellStyle name="20% - Accent3 2 16 3" xfId="8151" xr:uid="{00000000-0005-0000-0000-0000CA070000}"/>
    <cellStyle name="20% - Accent3 2 17" xfId="24469" xr:uid="{00000000-0005-0000-0000-0000CB070000}"/>
    <cellStyle name="20% - Accent3 2 2" xfId="114" xr:uid="{00000000-0005-0000-0000-0000CC070000}"/>
    <cellStyle name="20% - Accent3 2 2 10" xfId="8152" xr:uid="{00000000-0005-0000-0000-0000CD070000}"/>
    <cellStyle name="20% - Accent3 2 2 10 2" xfId="8153" xr:uid="{00000000-0005-0000-0000-0000CE070000}"/>
    <cellStyle name="20% - Accent3 2 2 10 3" xfId="8154" xr:uid="{00000000-0005-0000-0000-0000CF070000}"/>
    <cellStyle name="20% - Accent3 2 2 11" xfId="8155" xr:uid="{00000000-0005-0000-0000-0000D0070000}"/>
    <cellStyle name="20% - Accent3 2 2 11 2" xfId="8156" xr:uid="{00000000-0005-0000-0000-0000D1070000}"/>
    <cellStyle name="20% - Accent3 2 2 11 3" xfId="8157" xr:uid="{00000000-0005-0000-0000-0000D2070000}"/>
    <cellStyle name="20% - Accent3 2 2 12" xfId="8158" xr:uid="{00000000-0005-0000-0000-0000D3070000}"/>
    <cellStyle name="20% - Accent3 2 2 12 2" xfId="8159" xr:uid="{00000000-0005-0000-0000-0000D4070000}"/>
    <cellStyle name="20% - Accent3 2 2 12 3" xfId="8160" xr:uid="{00000000-0005-0000-0000-0000D5070000}"/>
    <cellStyle name="20% - Accent3 2 2 13" xfId="8161" xr:uid="{00000000-0005-0000-0000-0000D6070000}"/>
    <cellStyle name="20% - Accent3 2 2 14" xfId="8162" xr:uid="{00000000-0005-0000-0000-0000D7070000}"/>
    <cellStyle name="20% - Accent3 2 2 15" xfId="8163" xr:uid="{00000000-0005-0000-0000-0000D8070000}"/>
    <cellStyle name="20% - Accent3 2 2 2" xfId="179" xr:uid="{00000000-0005-0000-0000-0000D9070000}"/>
    <cellStyle name="20% - Accent3 2 2 2 2" xfId="8164" xr:uid="{00000000-0005-0000-0000-0000DA070000}"/>
    <cellStyle name="20% - Accent3 2 2 2 3" xfId="8165" xr:uid="{00000000-0005-0000-0000-0000DB070000}"/>
    <cellStyle name="20% - Accent3 2 2 3" xfId="343" xr:uid="{00000000-0005-0000-0000-0000DC070000}"/>
    <cellStyle name="20% - Accent3 2 2 3 2" xfId="8166" xr:uid="{00000000-0005-0000-0000-0000DD070000}"/>
    <cellStyle name="20% - Accent3 2 2 3 3" xfId="8167" xr:uid="{00000000-0005-0000-0000-0000DE070000}"/>
    <cellStyle name="20% - Accent3 2 2 4" xfId="2165" xr:uid="{00000000-0005-0000-0000-0000DF070000}"/>
    <cellStyle name="20% - Accent3 2 2 4 2" xfId="8168" xr:uid="{00000000-0005-0000-0000-0000E0070000}"/>
    <cellStyle name="20% - Accent3 2 2 4 3" xfId="8169" xr:uid="{00000000-0005-0000-0000-0000E1070000}"/>
    <cellStyle name="20% - Accent3 2 2 5" xfId="2539" xr:uid="{00000000-0005-0000-0000-0000E2070000}"/>
    <cellStyle name="20% - Accent3 2 2 5 2" xfId="8170" xr:uid="{00000000-0005-0000-0000-0000E3070000}"/>
    <cellStyle name="20% - Accent3 2 2 5 3" xfId="8171" xr:uid="{00000000-0005-0000-0000-0000E4070000}"/>
    <cellStyle name="20% - Accent3 2 2 6" xfId="2911" xr:uid="{00000000-0005-0000-0000-0000E5070000}"/>
    <cellStyle name="20% - Accent3 2 2 6 2" xfId="8172" xr:uid="{00000000-0005-0000-0000-0000E6070000}"/>
    <cellStyle name="20% - Accent3 2 2 6 3" xfId="8173" xr:uid="{00000000-0005-0000-0000-0000E7070000}"/>
    <cellStyle name="20% - Accent3 2 2 7" xfId="3283" xr:uid="{00000000-0005-0000-0000-0000E8070000}"/>
    <cellStyle name="20% - Accent3 2 2 7 2" xfId="8174" xr:uid="{00000000-0005-0000-0000-0000E9070000}"/>
    <cellStyle name="20% - Accent3 2 2 7 3" xfId="8175" xr:uid="{00000000-0005-0000-0000-0000EA070000}"/>
    <cellStyle name="20% - Accent3 2 2 8" xfId="4308" xr:uid="{00000000-0005-0000-0000-0000EB070000}"/>
    <cellStyle name="20% - Accent3 2 2 8 2" xfId="8177" xr:uid="{00000000-0005-0000-0000-0000EC070000}"/>
    <cellStyle name="20% - Accent3 2 2 8 3" xfId="8178" xr:uid="{00000000-0005-0000-0000-0000ED070000}"/>
    <cellStyle name="20% - Accent3 2 2 8 4" xfId="8176" xr:uid="{00000000-0005-0000-0000-0000EE070000}"/>
    <cellStyle name="20% - Accent3 2 2 9" xfId="8179" xr:uid="{00000000-0005-0000-0000-0000EF070000}"/>
    <cellStyle name="20% - Accent3 2 2 9 2" xfId="8180" xr:uid="{00000000-0005-0000-0000-0000F0070000}"/>
    <cellStyle name="20% - Accent3 2 2 9 3" xfId="8181" xr:uid="{00000000-0005-0000-0000-0000F1070000}"/>
    <cellStyle name="20% - Accent3 2 3" xfId="279" xr:uid="{00000000-0005-0000-0000-0000F2070000}"/>
    <cellStyle name="20% - Accent3 2 3 2" xfId="1341" xr:uid="{00000000-0005-0000-0000-0000F3070000}"/>
    <cellStyle name="20% - Accent3 2 3 2 2" xfId="8182" xr:uid="{00000000-0005-0000-0000-0000F4070000}"/>
    <cellStyle name="20% - Accent3 2 3 2 3" xfId="8183" xr:uid="{00000000-0005-0000-0000-0000F5070000}"/>
    <cellStyle name="20% - Accent3 2 3 3" xfId="8184" xr:uid="{00000000-0005-0000-0000-0000F6070000}"/>
    <cellStyle name="20% - Accent3 2 3 4" xfId="8185" xr:uid="{00000000-0005-0000-0000-0000F7070000}"/>
    <cellStyle name="20% - Accent3 2 4" xfId="366" xr:uid="{00000000-0005-0000-0000-0000F8070000}"/>
    <cellStyle name="20% - Accent3 2 4 2" xfId="8186" xr:uid="{00000000-0005-0000-0000-0000F9070000}"/>
    <cellStyle name="20% - Accent3 2 4 2 2" xfId="8187" xr:uid="{00000000-0005-0000-0000-0000FA070000}"/>
    <cellStyle name="20% - Accent3 2 4 2 3" xfId="8188" xr:uid="{00000000-0005-0000-0000-0000FB070000}"/>
    <cellStyle name="20% - Accent3 2 4 3" xfId="8189" xr:uid="{00000000-0005-0000-0000-0000FC070000}"/>
    <cellStyle name="20% - Accent3 2 4 4" xfId="8190" xr:uid="{00000000-0005-0000-0000-0000FD070000}"/>
    <cellStyle name="20% - Accent3 2 5" xfId="525" xr:uid="{00000000-0005-0000-0000-0000FE070000}"/>
    <cellStyle name="20% - Accent3 2 5 2" xfId="8191" xr:uid="{00000000-0005-0000-0000-0000FF070000}"/>
    <cellStyle name="20% - Accent3 2 5 3" xfId="8192" xr:uid="{00000000-0005-0000-0000-000000080000}"/>
    <cellStyle name="20% - Accent3 2 6" xfId="650" xr:uid="{00000000-0005-0000-0000-000001080000}"/>
    <cellStyle name="20% - Accent3 2 6 2" xfId="8193" xr:uid="{00000000-0005-0000-0000-000002080000}"/>
    <cellStyle name="20% - Accent3 2 6 3" xfId="8194" xr:uid="{00000000-0005-0000-0000-000003080000}"/>
    <cellStyle name="20% - Accent3 2 7" xfId="651" xr:uid="{00000000-0005-0000-0000-000004080000}"/>
    <cellStyle name="20% - Accent3 2 7 2" xfId="8195" xr:uid="{00000000-0005-0000-0000-000005080000}"/>
    <cellStyle name="20% - Accent3 2 7 3" xfId="8196" xr:uid="{00000000-0005-0000-0000-000006080000}"/>
    <cellStyle name="20% - Accent3 2 8" xfId="806" xr:uid="{00000000-0005-0000-0000-000007080000}"/>
    <cellStyle name="20% - Accent3 2 8 2" xfId="1398" xr:uid="{00000000-0005-0000-0000-000008080000}"/>
    <cellStyle name="20% - Accent3 2 8 2 2" xfId="8197" xr:uid="{00000000-0005-0000-0000-000009080000}"/>
    <cellStyle name="20% - Accent3 2 8 3" xfId="8198" xr:uid="{00000000-0005-0000-0000-00000A080000}"/>
    <cellStyle name="20% - Accent3 2 8 4" xfId="8199" xr:uid="{00000000-0005-0000-0000-00000B080000}"/>
    <cellStyle name="20% - Accent3 2 8 5" xfId="8200" xr:uid="{00000000-0005-0000-0000-00000C080000}"/>
    <cellStyle name="20% - Accent3 2 9" xfId="926" xr:uid="{00000000-0005-0000-0000-00000D080000}"/>
    <cellStyle name="20% - Accent3 2 9 2" xfId="1491" xr:uid="{00000000-0005-0000-0000-00000E080000}"/>
    <cellStyle name="20% - Accent3 2 9 2 2" xfId="8201" xr:uid="{00000000-0005-0000-0000-00000F080000}"/>
    <cellStyle name="20% - Accent3 2 9 3" xfId="8202" xr:uid="{00000000-0005-0000-0000-000010080000}"/>
    <cellStyle name="20% - Accent3 2 9 4" xfId="8203" xr:uid="{00000000-0005-0000-0000-000011080000}"/>
    <cellStyle name="20% - Accent3 2 9 5" xfId="8204" xr:uid="{00000000-0005-0000-0000-000012080000}"/>
    <cellStyle name="20% - Accent3 20" xfId="8205" xr:uid="{00000000-0005-0000-0000-000013080000}"/>
    <cellStyle name="20% - Accent3 21" xfId="8206" xr:uid="{00000000-0005-0000-0000-000014080000}"/>
    <cellStyle name="20% - Accent3 21 2" xfId="8207" xr:uid="{00000000-0005-0000-0000-000015080000}"/>
    <cellStyle name="20% - Accent3 21 2 2" xfId="8208" xr:uid="{00000000-0005-0000-0000-000016080000}"/>
    <cellStyle name="20% - Accent3 21 2 2 2" xfId="25423" xr:uid="{00000000-0005-0000-0000-000017080000}"/>
    <cellStyle name="20% - Accent3 21 2 2 3" xfId="28302" xr:uid="{00000000-0005-0000-0000-000018080000}"/>
    <cellStyle name="20% - Accent3 21 2 3" xfId="8209" xr:uid="{00000000-0005-0000-0000-000019080000}"/>
    <cellStyle name="20% - Accent3 21 2 3 2" xfId="25424" xr:uid="{00000000-0005-0000-0000-00001A080000}"/>
    <cellStyle name="20% - Accent3 21 2 3 3" xfId="28303" xr:uid="{00000000-0005-0000-0000-00001B080000}"/>
    <cellStyle name="20% - Accent3 21 2 4" xfId="25422" xr:uid="{00000000-0005-0000-0000-00001C080000}"/>
    <cellStyle name="20% - Accent3 21 2 5" xfId="28301" xr:uid="{00000000-0005-0000-0000-00001D080000}"/>
    <cellStyle name="20% - Accent3 21 3" xfId="8210" xr:uid="{00000000-0005-0000-0000-00001E080000}"/>
    <cellStyle name="20% - Accent3 21 3 2" xfId="25425" xr:uid="{00000000-0005-0000-0000-00001F080000}"/>
    <cellStyle name="20% - Accent3 21 3 3" xfId="28304" xr:uid="{00000000-0005-0000-0000-000020080000}"/>
    <cellStyle name="20% - Accent3 21 4" xfId="8211" xr:uid="{00000000-0005-0000-0000-000021080000}"/>
    <cellStyle name="20% - Accent3 21 4 2" xfId="25426" xr:uid="{00000000-0005-0000-0000-000022080000}"/>
    <cellStyle name="20% - Accent3 21 4 3" xfId="28305" xr:uid="{00000000-0005-0000-0000-000023080000}"/>
    <cellStyle name="20% - Accent3 21 5" xfId="25421" xr:uid="{00000000-0005-0000-0000-000024080000}"/>
    <cellStyle name="20% - Accent3 21 6" xfId="28300" xr:uid="{00000000-0005-0000-0000-000025080000}"/>
    <cellStyle name="20% - Accent3 22" xfId="8212" xr:uid="{00000000-0005-0000-0000-000026080000}"/>
    <cellStyle name="20% - Accent3 22 2" xfId="8213" xr:uid="{00000000-0005-0000-0000-000027080000}"/>
    <cellStyle name="20% - Accent3 22 2 2" xfId="8214" xr:uid="{00000000-0005-0000-0000-000028080000}"/>
    <cellStyle name="20% - Accent3 22 2 2 2" xfId="25429" xr:uid="{00000000-0005-0000-0000-000029080000}"/>
    <cellStyle name="20% - Accent3 22 2 2 3" xfId="28308" xr:uid="{00000000-0005-0000-0000-00002A080000}"/>
    <cellStyle name="20% - Accent3 22 2 3" xfId="8215" xr:uid="{00000000-0005-0000-0000-00002B080000}"/>
    <cellStyle name="20% - Accent3 22 2 3 2" xfId="25430" xr:uid="{00000000-0005-0000-0000-00002C080000}"/>
    <cellStyle name="20% - Accent3 22 2 3 3" xfId="28309" xr:uid="{00000000-0005-0000-0000-00002D080000}"/>
    <cellStyle name="20% - Accent3 22 2 4" xfId="25428" xr:uid="{00000000-0005-0000-0000-00002E080000}"/>
    <cellStyle name="20% - Accent3 22 2 5" xfId="28307" xr:uid="{00000000-0005-0000-0000-00002F080000}"/>
    <cellStyle name="20% - Accent3 22 3" xfId="8216" xr:uid="{00000000-0005-0000-0000-000030080000}"/>
    <cellStyle name="20% - Accent3 22 3 2" xfId="25431" xr:uid="{00000000-0005-0000-0000-000031080000}"/>
    <cellStyle name="20% - Accent3 22 3 3" xfId="28310" xr:uid="{00000000-0005-0000-0000-000032080000}"/>
    <cellStyle name="20% - Accent3 22 4" xfId="8217" xr:uid="{00000000-0005-0000-0000-000033080000}"/>
    <cellStyle name="20% - Accent3 22 4 2" xfId="25432" xr:uid="{00000000-0005-0000-0000-000034080000}"/>
    <cellStyle name="20% - Accent3 22 4 3" xfId="28311" xr:uid="{00000000-0005-0000-0000-000035080000}"/>
    <cellStyle name="20% - Accent3 22 5" xfId="25427" xr:uid="{00000000-0005-0000-0000-000036080000}"/>
    <cellStyle name="20% - Accent3 22 6" xfId="28306" xr:uid="{00000000-0005-0000-0000-000037080000}"/>
    <cellStyle name="20% - Accent3 23" xfId="8218" xr:uid="{00000000-0005-0000-0000-000038080000}"/>
    <cellStyle name="20% - Accent3 24" xfId="8219" xr:uid="{00000000-0005-0000-0000-000039080000}"/>
    <cellStyle name="20% - Accent3 24 2" xfId="8220" xr:uid="{00000000-0005-0000-0000-00003A080000}"/>
    <cellStyle name="20% - Accent3 24 2 2" xfId="8221" xr:uid="{00000000-0005-0000-0000-00003B080000}"/>
    <cellStyle name="20% - Accent3 24 2 2 2" xfId="25435" xr:uid="{00000000-0005-0000-0000-00003C080000}"/>
    <cellStyle name="20% - Accent3 24 2 2 3" xfId="28314" xr:uid="{00000000-0005-0000-0000-00003D080000}"/>
    <cellStyle name="20% - Accent3 24 2 3" xfId="8222" xr:uid="{00000000-0005-0000-0000-00003E080000}"/>
    <cellStyle name="20% - Accent3 24 2 3 2" xfId="25436" xr:uid="{00000000-0005-0000-0000-00003F080000}"/>
    <cellStyle name="20% - Accent3 24 2 3 3" xfId="28315" xr:uid="{00000000-0005-0000-0000-000040080000}"/>
    <cellStyle name="20% - Accent3 24 2 4" xfId="25434" xr:uid="{00000000-0005-0000-0000-000041080000}"/>
    <cellStyle name="20% - Accent3 24 2 5" xfId="28313" xr:uid="{00000000-0005-0000-0000-000042080000}"/>
    <cellStyle name="20% - Accent3 24 3" xfId="8223" xr:uid="{00000000-0005-0000-0000-000043080000}"/>
    <cellStyle name="20% - Accent3 24 3 2" xfId="25437" xr:uid="{00000000-0005-0000-0000-000044080000}"/>
    <cellStyle name="20% - Accent3 24 3 3" xfId="28316" xr:uid="{00000000-0005-0000-0000-000045080000}"/>
    <cellStyle name="20% - Accent3 24 4" xfId="8224" xr:uid="{00000000-0005-0000-0000-000046080000}"/>
    <cellStyle name="20% - Accent3 24 4 2" xfId="25438" xr:uid="{00000000-0005-0000-0000-000047080000}"/>
    <cellStyle name="20% - Accent3 24 4 3" xfId="28317" xr:uid="{00000000-0005-0000-0000-000048080000}"/>
    <cellStyle name="20% - Accent3 24 5" xfId="25433" xr:uid="{00000000-0005-0000-0000-000049080000}"/>
    <cellStyle name="20% - Accent3 24 6" xfId="28312" xr:uid="{00000000-0005-0000-0000-00004A080000}"/>
    <cellStyle name="20% - Accent3 25" xfId="8225" xr:uid="{00000000-0005-0000-0000-00004B080000}"/>
    <cellStyle name="20% - Accent3 25 2" xfId="8226" xr:uid="{00000000-0005-0000-0000-00004C080000}"/>
    <cellStyle name="20% - Accent3 25 2 2" xfId="8227" xr:uid="{00000000-0005-0000-0000-00004D080000}"/>
    <cellStyle name="20% - Accent3 25 2 2 2" xfId="25441" xr:uid="{00000000-0005-0000-0000-00004E080000}"/>
    <cellStyle name="20% - Accent3 25 2 2 3" xfId="28320" xr:uid="{00000000-0005-0000-0000-00004F080000}"/>
    <cellStyle name="20% - Accent3 25 2 3" xfId="8228" xr:uid="{00000000-0005-0000-0000-000050080000}"/>
    <cellStyle name="20% - Accent3 25 2 3 2" xfId="25442" xr:uid="{00000000-0005-0000-0000-000051080000}"/>
    <cellStyle name="20% - Accent3 25 2 3 3" xfId="28321" xr:uid="{00000000-0005-0000-0000-000052080000}"/>
    <cellStyle name="20% - Accent3 25 2 4" xfId="25440" xr:uid="{00000000-0005-0000-0000-000053080000}"/>
    <cellStyle name="20% - Accent3 25 2 5" xfId="28319" xr:uid="{00000000-0005-0000-0000-000054080000}"/>
    <cellStyle name="20% - Accent3 25 3" xfId="8229" xr:uid="{00000000-0005-0000-0000-000055080000}"/>
    <cellStyle name="20% - Accent3 25 3 2" xfId="25443" xr:uid="{00000000-0005-0000-0000-000056080000}"/>
    <cellStyle name="20% - Accent3 25 3 3" xfId="28322" xr:uid="{00000000-0005-0000-0000-000057080000}"/>
    <cellStyle name="20% - Accent3 25 4" xfId="8230" xr:uid="{00000000-0005-0000-0000-000058080000}"/>
    <cellStyle name="20% - Accent3 25 4 2" xfId="25444" xr:uid="{00000000-0005-0000-0000-000059080000}"/>
    <cellStyle name="20% - Accent3 25 4 3" xfId="28323" xr:uid="{00000000-0005-0000-0000-00005A080000}"/>
    <cellStyle name="20% - Accent3 25 5" xfId="25439" xr:uid="{00000000-0005-0000-0000-00005B080000}"/>
    <cellStyle name="20% - Accent3 25 6" xfId="28318" xr:uid="{00000000-0005-0000-0000-00005C080000}"/>
    <cellStyle name="20% - Accent3 26" xfId="8231" xr:uid="{00000000-0005-0000-0000-00005D080000}"/>
    <cellStyle name="20% - Accent3 27" xfId="8232" xr:uid="{00000000-0005-0000-0000-00005E080000}"/>
    <cellStyle name="20% - Accent3 27 2" xfId="8233" xr:uid="{00000000-0005-0000-0000-00005F080000}"/>
    <cellStyle name="20% - Accent3 27 2 2" xfId="8234" xr:uid="{00000000-0005-0000-0000-000060080000}"/>
    <cellStyle name="20% - Accent3 27 2 2 2" xfId="25447" xr:uid="{00000000-0005-0000-0000-000061080000}"/>
    <cellStyle name="20% - Accent3 27 2 2 3" xfId="28326" xr:uid="{00000000-0005-0000-0000-000062080000}"/>
    <cellStyle name="20% - Accent3 27 2 3" xfId="8235" xr:uid="{00000000-0005-0000-0000-000063080000}"/>
    <cellStyle name="20% - Accent3 27 2 3 2" xfId="25448" xr:uid="{00000000-0005-0000-0000-000064080000}"/>
    <cellStyle name="20% - Accent3 27 2 3 3" xfId="28327" xr:uid="{00000000-0005-0000-0000-000065080000}"/>
    <cellStyle name="20% - Accent3 27 2 4" xfId="25446" xr:uid="{00000000-0005-0000-0000-000066080000}"/>
    <cellStyle name="20% - Accent3 27 2 5" xfId="28325" xr:uid="{00000000-0005-0000-0000-000067080000}"/>
    <cellStyle name="20% - Accent3 27 3" xfId="8236" xr:uid="{00000000-0005-0000-0000-000068080000}"/>
    <cellStyle name="20% - Accent3 27 3 2" xfId="25449" xr:uid="{00000000-0005-0000-0000-000069080000}"/>
    <cellStyle name="20% - Accent3 27 3 3" xfId="28328" xr:uid="{00000000-0005-0000-0000-00006A080000}"/>
    <cellStyle name="20% - Accent3 27 4" xfId="8237" xr:uid="{00000000-0005-0000-0000-00006B080000}"/>
    <cellStyle name="20% - Accent3 27 4 2" xfId="25450" xr:uid="{00000000-0005-0000-0000-00006C080000}"/>
    <cellStyle name="20% - Accent3 27 4 3" xfId="28329" xr:uid="{00000000-0005-0000-0000-00006D080000}"/>
    <cellStyle name="20% - Accent3 27 5" xfId="25445" xr:uid="{00000000-0005-0000-0000-00006E080000}"/>
    <cellStyle name="20% - Accent3 27 6" xfId="28324" xr:uid="{00000000-0005-0000-0000-00006F080000}"/>
    <cellStyle name="20% - Accent3 28" xfId="8238" xr:uid="{00000000-0005-0000-0000-000070080000}"/>
    <cellStyle name="20% - Accent3 28 2" xfId="8239" xr:uid="{00000000-0005-0000-0000-000071080000}"/>
    <cellStyle name="20% - Accent3 28 2 2" xfId="25452" xr:uid="{00000000-0005-0000-0000-000072080000}"/>
    <cellStyle name="20% - Accent3 28 2 3" xfId="28331" xr:uid="{00000000-0005-0000-0000-000073080000}"/>
    <cellStyle name="20% - Accent3 28 3" xfId="8240" xr:uid="{00000000-0005-0000-0000-000074080000}"/>
    <cellStyle name="20% - Accent3 28 3 2" xfId="25453" xr:uid="{00000000-0005-0000-0000-000075080000}"/>
    <cellStyle name="20% - Accent3 28 3 3" xfId="28332" xr:uid="{00000000-0005-0000-0000-000076080000}"/>
    <cellStyle name="20% - Accent3 28 4" xfId="25451" xr:uid="{00000000-0005-0000-0000-000077080000}"/>
    <cellStyle name="20% - Accent3 28 5" xfId="28330" xr:uid="{00000000-0005-0000-0000-000078080000}"/>
    <cellStyle name="20% - Accent3 29" xfId="8241" xr:uid="{00000000-0005-0000-0000-000079080000}"/>
    <cellStyle name="20% - Accent3 29 2" xfId="25454" xr:uid="{00000000-0005-0000-0000-00007A080000}"/>
    <cellStyle name="20% - Accent3 29 3" xfId="28333" xr:uid="{00000000-0005-0000-0000-00007B080000}"/>
    <cellStyle name="20% - Accent3 3" xfId="220" xr:uid="{00000000-0005-0000-0000-00007C080000}"/>
    <cellStyle name="20% - Accent3 3 10" xfId="3677" xr:uid="{00000000-0005-0000-0000-00007D080000}"/>
    <cellStyle name="20% - Accent3 3 10 2" xfId="4309" xr:uid="{00000000-0005-0000-0000-00007E080000}"/>
    <cellStyle name="20% - Accent3 3 10 2 2" xfId="8242" xr:uid="{00000000-0005-0000-0000-00007F080000}"/>
    <cellStyle name="20% - Accent3 3 10 3" xfId="8243" xr:uid="{00000000-0005-0000-0000-000080080000}"/>
    <cellStyle name="20% - Accent3 3 10 4" xfId="8244" xr:uid="{00000000-0005-0000-0000-000081080000}"/>
    <cellStyle name="20% - Accent3 3 10 5" xfId="8245" xr:uid="{00000000-0005-0000-0000-000082080000}"/>
    <cellStyle name="20% - Accent3 3 11" xfId="8246" xr:uid="{00000000-0005-0000-0000-000083080000}"/>
    <cellStyle name="20% - Accent3 3 11 2" xfId="8247" xr:uid="{00000000-0005-0000-0000-000084080000}"/>
    <cellStyle name="20% - Accent3 3 11 3" xfId="8248" xr:uid="{00000000-0005-0000-0000-000085080000}"/>
    <cellStyle name="20% - Accent3 3 12" xfId="8249" xr:uid="{00000000-0005-0000-0000-000086080000}"/>
    <cellStyle name="20% - Accent3 3 12 2" xfId="8250" xr:uid="{00000000-0005-0000-0000-000087080000}"/>
    <cellStyle name="20% - Accent3 3 12 3" xfId="8251" xr:uid="{00000000-0005-0000-0000-000088080000}"/>
    <cellStyle name="20% - Accent3 3 13" xfId="8252" xr:uid="{00000000-0005-0000-0000-000089080000}"/>
    <cellStyle name="20% - Accent3 3 13 2" xfId="8253" xr:uid="{00000000-0005-0000-0000-00008A080000}"/>
    <cellStyle name="20% - Accent3 3 13 3" xfId="8254" xr:uid="{00000000-0005-0000-0000-00008B080000}"/>
    <cellStyle name="20% - Accent3 3 14" xfId="8255" xr:uid="{00000000-0005-0000-0000-00008C080000}"/>
    <cellStyle name="20% - Accent3 3 15" xfId="8256" xr:uid="{00000000-0005-0000-0000-00008D080000}"/>
    <cellStyle name="20% - Accent3 3 2" xfId="1450" xr:uid="{00000000-0005-0000-0000-00008E080000}"/>
    <cellStyle name="20% - Accent3 3 2 10" xfId="8257" xr:uid="{00000000-0005-0000-0000-00008F080000}"/>
    <cellStyle name="20% - Accent3 3 2 10 2" xfId="8258" xr:uid="{00000000-0005-0000-0000-000090080000}"/>
    <cellStyle name="20% - Accent3 3 2 10 3" xfId="8259" xr:uid="{00000000-0005-0000-0000-000091080000}"/>
    <cellStyle name="20% - Accent3 3 2 11" xfId="8260" xr:uid="{00000000-0005-0000-0000-000092080000}"/>
    <cellStyle name="20% - Accent3 3 2 11 2" xfId="8261" xr:uid="{00000000-0005-0000-0000-000093080000}"/>
    <cellStyle name="20% - Accent3 3 2 11 3" xfId="8262" xr:uid="{00000000-0005-0000-0000-000094080000}"/>
    <cellStyle name="20% - Accent3 3 2 12" xfId="8263" xr:uid="{00000000-0005-0000-0000-000095080000}"/>
    <cellStyle name="20% - Accent3 3 2 12 2" xfId="8264" xr:uid="{00000000-0005-0000-0000-000096080000}"/>
    <cellStyle name="20% - Accent3 3 2 12 3" xfId="8265" xr:uid="{00000000-0005-0000-0000-000097080000}"/>
    <cellStyle name="20% - Accent3 3 2 13" xfId="8266" xr:uid="{00000000-0005-0000-0000-000098080000}"/>
    <cellStyle name="20% - Accent3 3 2 14" xfId="8267" xr:uid="{00000000-0005-0000-0000-000099080000}"/>
    <cellStyle name="20% - Accent3 3 2 15" xfId="8268" xr:uid="{00000000-0005-0000-0000-00009A080000}"/>
    <cellStyle name="20% - Accent3 3 2 2" xfId="1831" xr:uid="{00000000-0005-0000-0000-00009B080000}"/>
    <cellStyle name="20% - Accent3 3 2 2 2" xfId="8269" xr:uid="{00000000-0005-0000-0000-00009C080000}"/>
    <cellStyle name="20% - Accent3 3 2 2 3" xfId="8270" xr:uid="{00000000-0005-0000-0000-00009D080000}"/>
    <cellStyle name="20% - Accent3 3 2 3" xfId="2206" xr:uid="{00000000-0005-0000-0000-00009E080000}"/>
    <cellStyle name="20% - Accent3 3 2 3 2" xfId="8271" xr:uid="{00000000-0005-0000-0000-00009F080000}"/>
    <cellStyle name="20% - Accent3 3 2 3 3" xfId="8272" xr:uid="{00000000-0005-0000-0000-0000A0080000}"/>
    <cellStyle name="20% - Accent3 3 2 4" xfId="2580" xr:uid="{00000000-0005-0000-0000-0000A1080000}"/>
    <cellStyle name="20% - Accent3 3 2 4 2" xfId="8273" xr:uid="{00000000-0005-0000-0000-0000A2080000}"/>
    <cellStyle name="20% - Accent3 3 2 4 3" xfId="8274" xr:uid="{00000000-0005-0000-0000-0000A3080000}"/>
    <cellStyle name="20% - Accent3 3 2 5" xfId="2952" xr:uid="{00000000-0005-0000-0000-0000A4080000}"/>
    <cellStyle name="20% - Accent3 3 2 5 2" xfId="8275" xr:uid="{00000000-0005-0000-0000-0000A5080000}"/>
    <cellStyle name="20% - Accent3 3 2 5 3" xfId="8276" xr:uid="{00000000-0005-0000-0000-0000A6080000}"/>
    <cellStyle name="20% - Accent3 3 2 6" xfId="3324" xr:uid="{00000000-0005-0000-0000-0000A7080000}"/>
    <cellStyle name="20% - Accent3 3 2 6 2" xfId="8277" xr:uid="{00000000-0005-0000-0000-0000A8080000}"/>
    <cellStyle name="20% - Accent3 3 2 6 3" xfId="8278" xr:uid="{00000000-0005-0000-0000-0000A9080000}"/>
    <cellStyle name="20% - Accent3 3 2 7" xfId="4310" xr:uid="{00000000-0005-0000-0000-0000AA080000}"/>
    <cellStyle name="20% - Accent3 3 2 7 2" xfId="8280" xr:uid="{00000000-0005-0000-0000-0000AB080000}"/>
    <cellStyle name="20% - Accent3 3 2 7 3" xfId="8281" xr:uid="{00000000-0005-0000-0000-0000AC080000}"/>
    <cellStyle name="20% - Accent3 3 2 7 4" xfId="8279" xr:uid="{00000000-0005-0000-0000-0000AD080000}"/>
    <cellStyle name="20% - Accent3 3 2 8" xfId="8282" xr:uid="{00000000-0005-0000-0000-0000AE080000}"/>
    <cellStyle name="20% - Accent3 3 2 8 2" xfId="8283" xr:uid="{00000000-0005-0000-0000-0000AF080000}"/>
    <cellStyle name="20% - Accent3 3 2 8 3" xfId="8284" xr:uid="{00000000-0005-0000-0000-0000B0080000}"/>
    <cellStyle name="20% - Accent3 3 2 9" xfId="8285" xr:uid="{00000000-0005-0000-0000-0000B1080000}"/>
    <cellStyle name="20% - Accent3 3 2 9 2" xfId="8286" xr:uid="{00000000-0005-0000-0000-0000B2080000}"/>
    <cellStyle name="20% - Accent3 3 2 9 3" xfId="8287" xr:uid="{00000000-0005-0000-0000-0000B3080000}"/>
    <cellStyle name="20% - Accent3 3 3" xfId="1577" xr:uid="{00000000-0005-0000-0000-0000B4080000}"/>
    <cellStyle name="20% - Accent3 3 3 2" xfId="1908" xr:uid="{00000000-0005-0000-0000-0000B5080000}"/>
    <cellStyle name="20% - Accent3 3 3 3" xfId="2283" xr:uid="{00000000-0005-0000-0000-0000B6080000}"/>
    <cellStyle name="20% - Accent3 3 3 4" xfId="2656" xr:uid="{00000000-0005-0000-0000-0000B7080000}"/>
    <cellStyle name="20% - Accent3 3 3 5" xfId="3029" xr:uid="{00000000-0005-0000-0000-0000B8080000}"/>
    <cellStyle name="20% - Accent3 3 3 6" xfId="3400" xr:uid="{00000000-0005-0000-0000-0000B9080000}"/>
    <cellStyle name="20% - Accent3 3 3 7" xfId="4311" xr:uid="{00000000-0005-0000-0000-0000BA080000}"/>
    <cellStyle name="20% - Accent3 3 4" xfId="1714" xr:uid="{00000000-0005-0000-0000-0000BB080000}"/>
    <cellStyle name="20% - Accent3 3 4 2" xfId="1952" xr:uid="{00000000-0005-0000-0000-0000BC080000}"/>
    <cellStyle name="20% - Accent3 3 4 3" xfId="2327" xr:uid="{00000000-0005-0000-0000-0000BD080000}"/>
    <cellStyle name="20% - Accent3 3 4 4" xfId="2700" xr:uid="{00000000-0005-0000-0000-0000BE080000}"/>
    <cellStyle name="20% - Accent3 3 4 5" xfId="3073" xr:uid="{00000000-0005-0000-0000-0000BF080000}"/>
    <cellStyle name="20% - Accent3 3 4 6" xfId="3444" xr:uid="{00000000-0005-0000-0000-0000C0080000}"/>
    <cellStyle name="20% - Accent3 3 5" xfId="2049" xr:uid="{00000000-0005-0000-0000-0000C1080000}"/>
    <cellStyle name="20% - Accent3 3 5 2" xfId="8288" xr:uid="{00000000-0005-0000-0000-0000C2080000}"/>
    <cellStyle name="20% - Accent3 3 5 3" xfId="8289" xr:uid="{00000000-0005-0000-0000-0000C3080000}"/>
    <cellStyle name="20% - Accent3 3 5 4" xfId="8290" xr:uid="{00000000-0005-0000-0000-0000C4080000}"/>
    <cellStyle name="20% - Accent3 3 6" xfId="2423" xr:uid="{00000000-0005-0000-0000-0000C5080000}"/>
    <cellStyle name="20% - Accent3 3 6 2" xfId="8291" xr:uid="{00000000-0005-0000-0000-0000C6080000}"/>
    <cellStyle name="20% - Accent3 3 6 3" xfId="8292" xr:uid="{00000000-0005-0000-0000-0000C7080000}"/>
    <cellStyle name="20% - Accent3 3 6 4" xfId="8293" xr:uid="{00000000-0005-0000-0000-0000C8080000}"/>
    <cellStyle name="20% - Accent3 3 7" xfId="2795" xr:uid="{00000000-0005-0000-0000-0000C9080000}"/>
    <cellStyle name="20% - Accent3 3 7 2" xfId="8294" xr:uid="{00000000-0005-0000-0000-0000CA080000}"/>
    <cellStyle name="20% - Accent3 3 7 3" xfId="8295" xr:uid="{00000000-0005-0000-0000-0000CB080000}"/>
    <cellStyle name="20% - Accent3 3 7 4" xfId="8296" xr:uid="{00000000-0005-0000-0000-0000CC080000}"/>
    <cellStyle name="20% - Accent3 3 8" xfId="3166" xr:uid="{00000000-0005-0000-0000-0000CD080000}"/>
    <cellStyle name="20% - Accent3 3 8 2" xfId="8297" xr:uid="{00000000-0005-0000-0000-0000CE080000}"/>
    <cellStyle name="20% - Accent3 3 8 3" xfId="8298" xr:uid="{00000000-0005-0000-0000-0000CF080000}"/>
    <cellStyle name="20% - Accent3 3 8 4" xfId="8299" xr:uid="{00000000-0005-0000-0000-0000D0080000}"/>
    <cellStyle name="20% - Accent3 3 9" xfId="3541" xr:uid="{00000000-0005-0000-0000-0000D1080000}"/>
    <cellStyle name="20% - Accent3 3 9 2" xfId="4312" xr:uid="{00000000-0005-0000-0000-0000D2080000}"/>
    <cellStyle name="20% - Accent3 3 9 2 2" xfId="8300" xr:uid="{00000000-0005-0000-0000-0000D3080000}"/>
    <cellStyle name="20% - Accent3 3 9 3" xfId="8301" xr:uid="{00000000-0005-0000-0000-0000D4080000}"/>
    <cellStyle name="20% - Accent3 3 9 4" xfId="8302" xr:uid="{00000000-0005-0000-0000-0000D5080000}"/>
    <cellStyle name="20% - Accent3 3 9 5" xfId="8303" xr:uid="{00000000-0005-0000-0000-0000D6080000}"/>
    <cellStyle name="20% - Accent3 30" xfId="28144" xr:uid="{00000000-0005-0000-0000-0000D7080000}"/>
    <cellStyle name="20% - Accent3 4" xfId="237" xr:uid="{00000000-0005-0000-0000-0000D8080000}"/>
    <cellStyle name="20% - Accent3 4 10" xfId="3721" xr:uid="{00000000-0005-0000-0000-0000D9080000}"/>
    <cellStyle name="20% - Accent3 4 10 2" xfId="4314" xr:uid="{00000000-0005-0000-0000-0000DA080000}"/>
    <cellStyle name="20% - Accent3 4 10 2 2" xfId="8305" xr:uid="{00000000-0005-0000-0000-0000DB080000}"/>
    <cellStyle name="20% - Accent3 4 10 3" xfId="8306" xr:uid="{00000000-0005-0000-0000-0000DC080000}"/>
    <cellStyle name="20% - Accent3 4 10 4" xfId="8307" xr:uid="{00000000-0005-0000-0000-0000DD080000}"/>
    <cellStyle name="20% - Accent3 4 10 5" xfId="8308" xr:uid="{00000000-0005-0000-0000-0000DE080000}"/>
    <cellStyle name="20% - Accent3 4 11" xfId="1302" xr:uid="{00000000-0005-0000-0000-0000DF080000}"/>
    <cellStyle name="20% - Accent3 4 11 10" xfId="25455" xr:uid="{00000000-0005-0000-0000-0000E0080000}"/>
    <cellStyle name="20% - Accent3 4 11 11" xfId="28335" xr:uid="{00000000-0005-0000-0000-0000E1080000}"/>
    <cellStyle name="20% - Accent3 4 11 2" xfId="4148" xr:uid="{00000000-0005-0000-0000-0000E2080000}"/>
    <cellStyle name="20% - Accent3 4 11 2 2" xfId="5330" xr:uid="{00000000-0005-0000-0000-0000E3080000}"/>
    <cellStyle name="20% - Accent3 4 11 2 2 2" xfId="6024" xr:uid="{00000000-0005-0000-0000-0000E4080000}"/>
    <cellStyle name="20% - Accent3 4 11 2 2 2 2" xfId="25458" xr:uid="{00000000-0005-0000-0000-0000E5080000}"/>
    <cellStyle name="20% - Accent3 4 11 2 2 3" xfId="8311" xr:uid="{00000000-0005-0000-0000-0000E6080000}"/>
    <cellStyle name="20% - Accent3 4 11 2 2 4" xfId="25457" xr:uid="{00000000-0005-0000-0000-0000E7080000}"/>
    <cellStyle name="20% - Accent3 4 11 2 3" xfId="5640" xr:uid="{00000000-0005-0000-0000-0000E8080000}"/>
    <cellStyle name="20% - Accent3 4 11 2 3 2" xfId="6025" xr:uid="{00000000-0005-0000-0000-0000E9080000}"/>
    <cellStyle name="20% - Accent3 4 11 2 3 2 2" xfId="25460" xr:uid="{00000000-0005-0000-0000-0000EA080000}"/>
    <cellStyle name="20% - Accent3 4 11 2 3 3" xfId="25459" xr:uid="{00000000-0005-0000-0000-0000EB080000}"/>
    <cellStyle name="20% - Accent3 4 11 2 4" xfId="4316" xr:uid="{00000000-0005-0000-0000-0000EC080000}"/>
    <cellStyle name="20% - Accent3 4 11 2 4 2" xfId="6026" xr:uid="{00000000-0005-0000-0000-0000ED080000}"/>
    <cellStyle name="20% - Accent3 4 11 2 4 2 2" xfId="25462" xr:uid="{00000000-0005-0000-0000-0000EE080000}"/>
    <cellStyle name="20% - Accent3 4 11 2 4 3" xfId="25461" xr:uid="{00000000-0005-0000-0000-0000EF080000}"/>
    <cellStyle name="20% - Accent3 4 11 2 5" xfId="6023" xr:uid="{00000000-0005-0000-0000-0000F0080000}"/>
    <cellStyle name="20% - Accent3 4 11 2 5 2" xfId="25463" xr:uid="{00000000-0005-0000-0000-0000F1080000}"/>
    <cellStyle name="20% - Accent3 4 11 2 6" xfId="8310" xr:uid="{00000000-0005-0000-0000-0000F2080000}"/>
    <cellStyle name="20% - Accent3 4 11 2 6 2" xfId="25464" xr:uid="{00000000-0005-0000-0000-0000F3080000}"/>
    <cellStyle name="20% - Accent3 4 11 2 7" xfId="25000" xr:uid="{00000000-0005-0000-0000-0000F4080000}"/>
    <cellStyle name="20% - Accent3 4 11 2 8" xfId="25456" xr:uid="{00000000-0005-0000-0000-0000F5080000}"/>
    <cellStyle name="20% - Accent3 4 11 2 9" xfId="28336" xr:uid="{00000000-0005-0000-0000-0000F6080000}"/>
    <cellStyle name="20% - Accent3 4 11 3" xfId="5329" xr:uid="{00000000-0005-0000-0000-0000F7080000}"/>
    <cellStyle name="20% - Accent3 4 11 3 2" xfId="6027" xr:uid="{00000000-0005-0000-0000-0000F8080000}"/>
    <cellStyle name="20% - Accent3 4 11 3 2 2" xfId="25466" xr:uid="{00000000-0005-0000-0000-0000F9080000}"/>
    <cellStyle name="20% - Accent3 4 11 3 3" xfId="8312" xr:uid="{00000000-0005-0000-0000-0000FA080000}"/>
    <cellStyle name="20% - Accent3 4 11 3 4" xfId="25465" xr:uid="{00000000-0005-0000-0000-0000FB080000}"/>
    <cellStyle name="20% - Accent3 4 11 4" xfId="5639" xr:uid="{00000000-0005-0000-0000-0000FC080000}"/>
    <cellStyle name="20% - Accent3 4 11 4 2" xfId="6028" xr:uid="{00000000-0005-0000-0000-0000FD080000}"/>
    <cellStyle name="20% - Accent3 4 11 4 2 2" xfId="25468" xr:uid="{00000000-0005-0000-0000-0000FE080000}"/>
    <cellStyle name="20% - Accent3 4 11 4 3" xfId="8313" xr:uid="{00000000-0005-0000-0000-0000FF080000}"/>
    <cellStyle name="20% - Accent3 4 11 4 4" xfId="25467" xr:uid="{00000000-0005-0000-0000-000000090000}"/>
    <cellStyle name="20% - Accent3 4 11 5" xfId="4315" xr:uid="{00000000-0005-0000-0000-000001090000}"/>
    <cellStyle name="20% - Accent3 4 11 5 2" xfId="6029" xr:uid="{00000000-0005-0000-0000-000002090000}"/>
    <cellStyle name="20% - Accent3 4 11 5 2 2" xfId="8315" xr:uid="{00000000-0005-0000-0000-000003090000}"/>
    <cellStyle name="20% - Accent3 4 11 5 2 2 2" xfId="25471" xr:uid="{00000000-0005-0000-0000-000004090000}"/>
    <cellStyle name="20% - Accent3 4 11 5 2 3" xfId="25470" xr:uid="{00000000-0005-0000-0000-000005090000}"/>
    <cellStyle name="20% - Accent3 4 11 5 2 4" xfId="28338" xr:uid="{00000000-0005-0000-0000-000006090000}"/>
    <cellStyle name="20% - Accent3 4 11 5 3" xfId="8316" xr:uid="{00000000-0005-0000-0000-000007090000}"/>
    <cellStyle name="20% - Accent3 4 11 5 3 2" xfId="25472" xr:uid="{00000000-0005-0000-0000-000008090000}"/>
    <cellStyle name="20% - Accent3 4 11 5 3 3" xfId="28339" xr:uid="{00000000-0005-0000-0000-000009090000}"/>
    <cellStyle name="20% - Accent3 4 11 5 4" xfId="8314" xr:uid="{00000000-0005-0000-0000-00000A090000}"/>
    <cellStyle name="20% - Accent3 4 11 5 4 2" xfId="25473" xr:uid="{00000000-0005-0000-0000-00000B090000}"/>
    <cellStyle name="20% - Accent3 4 11 5 5" xfId="25469" xr:uid="{00000000-0005-0000-0000-00000C090000}"/>
    <cellStyle name="20% - Accent3 4 11 5 6" xfId="28337" xr:uid="{00000000-0005-0000-0000-00000D090000}"/>
    <cellStyle name="20% - Accent3 4 11 6" xfId="6022" xr:uid="{00000000-0005-0000-0000-00000E090000}"/>
    <cellStyle name="20% - Accent3 4 11 6 2" xfId="8317" xr:uid="{00000000-0005-0000-0000-00000F090000}"/>
    <cellStyle name="20% - Accent3 4 11 6 2 2" xfId="25475" xr:uid="{00000000-0005-0000-0000-000010090000}"/>
    <cellStyle name="20% - Accent3 4 11 6 3" xfId="25474" xr:uid="{00000000-0005-0000-0000-000011090000}"/>
    <cellStyle name="20% - Accent3 4 11 6 4" xfId="28340" xr:uid="{00000000-0005-0000-0000-000012090000}"/>
    <cellStyle name="20% - Accent3 4 11 7" xfId="8318" xr:uid="{00000000-0005-0000-0000-000013090000}"/>
    <cellStyle name="20% - Accent3 4 11 7 2" xfId="25476" xr:uid="{00000000-0005-0000-0000-000014090000}"/>
    <cellStyle name="20% - Accent3 4 11 7 3" xfId="28341" xr:uid="{00000000-0005-0000-0000-000015090000}"/>
    <cellStyle name="20% - Accent3 4 11 8" xfId="8309" xr:uid="{00000000-0005-0000-0000-000016090000}"/>
    <cellStyle name="20% - Accent3 4 11 8 2" xfId="25477" xr:uid="{00000000-0005-0000-0000-000017090000}"/>
    <cellStyle name="20% - Accent3 4 11 9" xfId="24880" xr:uid="{00000000-0005-0000-0000-000018090000}"/>
    <cellStyle name="20% - Accent3 4 12" xfId="4317" xr:uid="{00000000-0005-0000-0000-000019090000}"/>
    <cellStyle name="20% - Accent3 4 12 2" xfId="5331" xr:uid="{00000000-0005-0000-0000-00001A090000}"/>
    <cellStyle name="20% - Accent3 4 12 2 2" xfId="6031" xr:uid="{00000000-0005-0000-0000-00001B090000}"/>
    <cellStyle name="20% - Accent3 4 12 2 2 2" xfId="25480" xr:uid="{00000000-0005-0000-0000-00001C090000}"/>
    <cellStyle name="20% - Accent3 4 12 2 3" xfId="8320" xr:uid="{00000000-0005-0000-0000-00001D090000}"/>
    <cellStyle name="20% - Accent3 4 12 2 4" xfId="25479" xr:uid="{00000000-0005-0000-0000-00001E090000}"/>
    <cellStyle name="20% - Accent3 4 12 3" xfId="5641" xr:uid="{00000000-0005-0000-0000-00001F090000}"/>
    <cellStyle name="20% - Accent3 4 12 3 2" xfId="6032" xr:uid="{00000000-0005-0000-0000-000020090000}"/>
    <cellStyle name="20% - Accent3 4 12 3 2 2" xfId="25482" xr:uid="{00000000-0005-0000-0000-000021090000}"/>
    <cellStyle name="20% - Accent3 4 12 3 3" xfId="8321" xr:uid="{00000000-0005-0000-0000-000022090000}"/>
    <cellStyle name="20% - Accent3 4 12 3 4" xfId="25481" xr:uid="{00000000-0005-0000-0000-000023090000}"/>
    <cellStyle name="20% - Accent3 4 12 4" xfId="6030" xr:uid="{00000000-0005-0000-0000-000024090000}"/>
    <cellStyle name="20% - Accent3 4 12 4 2" xfId="8322" xr:uid="{00000000-0005-0000-0000-000025090000}"/>
    <cellStyle name="20% - Accent3 4 12 4 3" xfId="25483" xr:uid="{00000000-0005-0000-0000-000026090000}"/>
    <cellStyle name="20% - Accent3 4 12 5" xfId="8319" xr:uid="{00000000-0005-0000-0000-000027090000}"/>
    <cellStyle name="20% - Accent3 4 12 5 2" xfId="25484" xr:uid="{00000000-0005-0000-0000-000028090000}"/>
    <cellStyle name="20% - Accent3 4 12 6" xfId="25478" xr:uid="{00000000-0005-0000-0000-000029090000}"/>
    <cellStyle name="20% - Accent3 4 12 7" xfId="28342" xr:uid="{00000000-0005-0000-0000-00002A090000}"/>
    <cellStyle name="20% - Accent3 4 13" xfId="5328" xr:uid="{00000000-0005-0000-0000-00002B090000}"/>
    <cellStyle name="20% - Accent3 4 13 2" xfId="6033" xr:uid="{00000000-0005-0000-0000-00002C090000}"/>
    <cellStyle name="20% - Accent3 4 13 2 2" xfId="8324" xr:uid="{00000000-0005-0000-0000-00002D090000}"/>
    <cellStyle name="20% - Accent3 4 13 2 3" xfId="25486" xr:uid="{00000000-0005-0000-0000-00002E090000}"/>
    <cellStyle name="20% - Accent3 4 13 3" xfId="8325" xr:uid="{00000000-0005-0000-0000-00002F090000}"/>
    <cellStyle name="20% - Accent3 4 13 4" xfId="8323" xr:uid="{00000000-0005-0000-0000-000030090000}"/>
    <cellStyle name="20% - Accent3 4 13 5" xfId="25485" xr:uid="{00000000-0005-0000-0000-000031090000}"/>
    <cellStyle name="20% - Accent3 4 14" xfId="5638" xr:uid="{00000000-0005-0000-0000-000032090000}"/>
    <cellStyle name="20% - Accent3 4 14 2" xfId="6034" xr:uid="{00000000-0005-0000-0000-000033090000}"/>
    <cellStyle name="20% - Accent3 4 14 2 2" xfId="25488" xr:uid="{00000000-0005-0000-0000-000034090000}"/>
    <cellStyle name="20% - Accent3 4 14 3" xfId="8326" xr:uid="{00000000-0005-0000-0000-000035090000}"/>
    <cellStyle name="20% - Accent3 4 14 4" xfId="25487" xr:uid="{00000000-0005-0000-0000-000036090000}"/>
    <cellStyle name="20% - Accent3 4 15" xfId="4313" xr:uid="{00000000-0005-0000-0000-000037090000}"/>
    <cellStyle name="20% - Accent3 4 15 2" xfId="6035" xr:uid="{00000000-0005-0000-0000-000038090000}"/>
    <cellStyle name="20% - Accent3 4 15 2 2" xfId="25490" xr:uid="{00000000-0005-0000-0000-000039090000}"/>
    <cellStyle name="20% - Accent3 4 15 3" xfId="8327" xr:uid="{00000000-0005-0000-0000-00003A090000}"/>
    <cellStyle name="20% - Accent3 4 15 4" xfId="25489" xr:uid="{00000000-0005-0000-0000-00003B090000}"/>
    <cellStyle name="20% - Accent3 4 16" xfId="8328" xr:uid="{00000000-0005-0000-0000-00003C090000}"/>
    <cellStyle name="20% - Accent3 4 17" xfId="8329" xr:uid="{00000000-0005-0000-0000-00003D090000}"/>
    <cellStyle name="20% - Accent3 4 17 2" xfId="8330" xr:uid="{00000000-0005-0000-0000-00003E090000}"/>
    <cellStyle name="20% - Accent3 4 17 2 2" xfId="25492" xr:uid="{00000000-0005-0000-0000-00003F090000}"/>
    <cellStyle name="20% - Accent3 4 17 2 3" xfId="28344" xr:uid="{00000000-0005-0000-0000-000040090000}"/>
    <cellStyle name="20% - Accent3 4 17 3" xfId="8331" xr:uid="{00000000-0005-0000-0000-000041090000}"/>
    <cellStyle name="20% - Accent3 4 17 3 2" xfId="25493" xr:uid="{00000000-0005-0000-0000-000042090000}"/>
    <cellStyle name="20% - Accent3 4 17 3 3" xfId="28345" xr:uid="{00000000-0005-0000-0000-000043090000}"/>
    <cellStyle name="20% - Accent3 4 17 4" xfId="25491" xr:uid="{00000000-0005-0000-0000-000044090000}"/>
    <cellStyle name="20% - Accent3 4 17 5" xfId="28343" xr:uid="{00000000-0005-0000-0000-000045090000}"/>
    <cellStyle name="20% - Accent3 4 18" xfId="8332" xr:uid="{00000000-0005-0000-0000-000046090000}"/>
    <cellStyle name="20% - Accent3 4 18 2" xfId="25494" xr:uid="{00000000-0005-0000-0000-000047090000}"/>
    <cellStyle name="20% - Accent3 4 18 3" xfId="28346" xr:uid="{00000000-0005-0000-0000-000048090000}"/>
    <cellStyle name="20% - Accent3 4 19" xfId="8333" xr:uid="{00000000-0005-0000-0000-000049090000}"/>
    <cellStyle name="20% - Accent3 4 19 2" xfId="25495" xr:uid="{00000000-0005-0000-0000-00004A090000}"/>
    <cellStyle name="20% - Accent3 4 19 3" xfId="28347" xr:uid="{00000000-0005-0000-0000-00004B090000}"/>
    <cellStyle name="20% - Accent3 4 2" xfId="1495" xr:uid="{00000000-0005-0000-0000-00004C090000}"/>
    <cellStyle name="20% - Accent3 4 2 10" xfId="8334" xr:uid="{00000000-0005-0000-0000-00004D090000}"/>
    <cellStyle name="20% - Accent3 4 2 10 2" xfId="8335" xr:uid="{00000000-0005-0000-0000-00004E090000}"/>
    <cellStyle name="20% - Accent3 4 2 10 3" xfId="8336" xr:uid="{00000000-0005-0000-0000-00004F090000}"/>
    <cellStyle name="20% - Accent3 4 2 11" xfId="8337" xr:uid="{00000000-0005-0000-0000-000050090000}"/>
    <cellStyle name="20% - Accent3 4 2 11 2" xfId="8338" xr:uid="{00000000-0005-0000-0000-000051090000}"/>
    <cellStyle name="20% - Accent3 4 2 11 3" xfId="8339" xr:uid="{00000000-0005-0000-0000-000052090000}"/>
    <cellStyle name="20% - Accent3 4 2 12" xfId="8340" xr:uid="{00000000-0005-0000-0000-000053090000}"/>
    <cellStyle name="20% - Accent3 4 2 12 2" xfId="8341" xr:uid="{00000000-0005-0000-0000-000054090000}"/>
    <cellStyle name="20% - Accent3 4 2 12 3" xfId="8342" xr:uid="{00000000-0005-0000-0000-000055090000}"/>
    <cellStyle name="20% - Accent3 4 2 13" xfId="8343" xr:uid="{00000000-0005-0000-0000-000056090000}"/>
    <cellStyle name="20% - Accent3 4 2 14" xfId="8344" xr:uid="{00000000-0005-0000-0000-000057090000}"/>
    <cellStyle name="20% - Accent3 4 2 15" xfId="8345" xr:uid="{00000000-0005-0000-0000-000058090000}"/>
    <cellStyle name="20% - Accent3 4 2 16" xfId="8346" xr:uid="{00000000-0005-0000-0000-000059090000}"/>
    <cellStyle name="20% - Accent3 4 2 2" xfId="4318" xr:uid="{00000000-0005-0000-0000-00005A090000}"/>
    <cellStyle name="20% - Accent3 4 2 2 2" xfId="8348" xr:uid="{00000000-0005-0000-0000-00005B090000}"/>
    <cellStyle name="20% - Accent3 4 2 2 3" xfId="8349" xr:uid="{00000000-0005-0000-0000-00005C090000}"/>
    <cellStyle name="20% - Accent3 4 2 2 4" xfId="8347" xr:uid="{00000000-0005-0000-0000-00005D090000}"/>
    <cellStyle name="20% - Accent3 4 2 3" xfId="8350" xr:uid="{00000000-0005-0000-0000-00005E090000}"/>
    <cellStyle name="20% - Accent3 4 2 3 2" xfId="8351" xr:uid="{00000000-0005-0000-0000-00005F090000}"/>
    <cellStyle name="20% - Accent3 4 2 3 3" xfId="8352" xr:uid="{00000000-0005-0000-0000-000060090000}"/>
    <cellStyle name="20% - Accent3 4 2 4" xfId="8353" xr:uid="{00000000-0005-0000-0000-000061090000}"/>
    <cellStyle name="20% - Accent3 4 2 4 2" xfId="8354" xr:uid="{00000000-0005-0000-0000-000062090000}"/>
    <cellStyle name="20% - Accent3 4 2 4 3" xfId="8355" xr:uid="{00000000-0005-0000-0000-000063090000}"/>
    <cellStyle name="20% - Accent3 4 2 5" xfId="8356" xr:uid="{00000000-0005-0000-0000-000064090000}"/>
    <cellStyle name="20% - Accent3 4 2 5 2" xfId="8357" xr:uid="{00000000-0005-0000-0000-000065090000}"/>
    <cellStyle name="20% - Accent3 4 2 5 3" xfId="8358" xr:uid="{00000000-0005-0000-0000-000066090000}"/>
    <cellStyle name="20% - Accent3 4 2 6" xfId="8359" xr:uid="{00000000-0005-0000-0000-000067090000}"/>
    <cellStyle name="20% - Accent3 4 2 6 2" xfId="8360" xr:uid="{00000000-0005-0000-0000-000068090000}"/>
    <cellStyle name="20% - Accent3 4 2 6 3" xfId="8361" xr:uid="{00000000-0005-0000-0000-000069090000}"/>
    <cellStyle name="20% - Accent3 4 2 7" xfId="8362" xr:uid="{00000000-0005-0000-0000-00006A090000}"/>
    <cellStyle name="20% - Accent3 4 2 7 2" xfId="8363" xr:uid="{00000000-0005-0000-0000-00006B090000}"/>
    <cellStyle name="20% - Accent3 4 2 7 3" xfId="8364" xr:uid="{00000000-0005-0000-0000-00006C090000}"/>
    <cellStyle name="20% - Accent3 4 2 8" xfId="8365" xr:uid="{00000000-0005-0000-0000-00006D090000}"/>
    <cellStyle name="20% - Accent3 4 2 8 2" xfId="8366" xr:uid="{00000000-0005-0000-0000-00006E090000}"/>
    <cellStyle name="20% - Accent3 4 2 8 3" xfId="8367" xr:uid="{00000000-0005-0000-0000-00006F090000}"/>
    <cellStyle name="20% - Accent3 4 2 9" xfId="8368" xr:uid="{00000000-0005-0000-0000-000070090000}"/>
    <cellStyle name="20% - Accent3 4 2 9 2" xfId="8369" xr:uid="{00000000-0005-0000-0000-000071090000}"/>
    <cellStyle name="20% - Accent3 4 2 9 3" xfId="8370" xr:uid="{00000000-0005-0000-0000-000072090000}"/>
    <cellStyle name="20% - Accent3 4 20" xfId="8304" xr:uid="{00000000-0005-0000-0000-000073090000}"/>
    <cellStyle name="20% - Accent3 4 20 2" xfId="25496" xr:uid="{00000000-0005-0000-0000-000074090000}"/>
    <cellStyle name="20% - Accent3 4 21" xfId="28334" xr:uid="{00000000-0005-0000-0000-000075090000}"/>
    <cellStyle name="20% - Accent3 4 3" xfId="1620" xr:uid="{00000000-0005-0000-0000-000076090000}"/>
    <cellStyle name="20% - Accent3 4 3 2" xfId="4319" xr:uid="{00000000-0005-0000-0000-000077090000}"/>
    <cellStyle name="20% - Accent3 4 3 2 2" xfId="8371" xr:uid="{00000000-0005-0000-0000-000078090000}"/>
    <cellStyle name="20% - Accent3 4 3 3" xfId="8372" xr:uid="{00000000-0005-0000-0000-000079090000}"/>
    <cellStyle name="20% - Accent3 4 3 4" xfId="8373" xr:uid="{00000000-0005-0000-0000-00007A090000}"/>
    <cellStyle name="20% - Accent3 4 3 5" xfId="8374" xr:uid="{00000000-0005-0000-0000-00007B090000}"/>
    <cellStyle name="20% - Accent3 4 4" xfId="1802" xr:uid="{00000000-0005-0000-0000-00007C090000}"/>
    <cellStyle name="20% - Accent3 4 4 2" xfId="8375" xr:uid="{00000000-0005-0000-0000-00007D090000}"/>
    <cellStyle name="20% - Accent3 4 4 3" xfId="8376" xr:uid="{00000000-0005-0000-0000-00007E090000}"/>
    <cellStyle name="20% - Accent3 4 4 4" xfId="8377" xr:uid="{00000000-0005-0000-0000-00007F090000}"/>
    <cellStyle name="20% - Accent3 4 5" xfId="2138" xr:uid="{00000000-0005-0000-0000-000080090000}"/>
    <cellStyle name="20% - Accent3 4 5 2" xfId="8378" xr:uid="{00000000-0005-0000-0000-000081090000}"/>
    <cellStyle name="20% - Accent3 4 5 3" xfId="8379" xr:uid="{00000000-0005-0000-0000-000082090000}"/>
    <cellStyle name="20% - Accent3 4 5 4" xfId="8380" xr:uid="{00000000-0005-0000-0000-000083090000}"/>
    <cellStyle name="20% - Accent3 4 6" xfId="2512" xr:uid="{00000000-0005-0000-0000-000084090000}"/>
    <cellStyle name="20% - Accent3 4 6 2" xfId="8381" xr:uid="{00000000-0005-0000-0000-000085090000}"/>
    <cellStyle name="20% - Accent3 4 6 3" xfId="8382" xr:uid="{00000000-0005-0000-0000-000086090000}"/>
    <cellStyle name="20% - Accent3 4 6 4" xfId="8383" xr:uid="{00000000-0005-0000-0000-000087090000}"/>
    <cellStyle name="20% - Accent3 4 7" xfId="2884" xr:uid="{00000000-0005-0000-0000-000088090000}"/>
    <cellStyle name="20% - Accent3 4 7 2" xfId="8384" xr:uid="{00000000-0005-0000-0000-000089090000}"/>
    <cellStyle name="20% - Accent3 4 7 3" xfId="8385" xr:uid="{00000000-0005-0000-0000-00008A090000}"/>
    <cellStyle name="20% - Accent3 4 7 4" xfId="8386" xr:uid="{00000000-0005-0000-0000-00008B090000}"/>
    <cellStyle name="20% - Accent3 4 8" xfId="3255" xr:uid="{00000000-0005-0000-0000-00008C090000}"/>
    <cellStyle name="20% - Accent3 4 8 2" xfId="8387" xr:uid="{00000000-0005-0000-0000-00008D090000}"/>
    <cellStyle name="20% - Accent3 4 8 3" xfId="8388" xr:uid="{00000000-0005-0000-0000-00008E090000}"/>
    <cellStyle name="20% - Accent3 4 8 4" xfId="8389" xr:uid="{00000000-0005-0000-0000-00008F090000}"/>
    <cellStyle name="20% - Accent3 4 9" xfId="3584" xr:uid="{00000000-0005-0000-0000-000090090000}"/>
    <cellStyle name="20% - Accent3 4 9 2" xfId="4320" xr:uid="{00000000-0005-0000-0000-000091090000}"/>
    <cellStyle name="20% - Accent3 4 9 2 2" xfId="8390" xr:uid="{00000000-0005-0000-0000-000092090000}"/>
    <cellStyle name="20% - Accent3 4 9 3" xfId="8391" xr:uid="{00000000-0005-0000-0000-000093090000}"/>
    <cellStyle name="20% - Accent3 4 9 4" xfId="8392" xr:uid="{00000000-0005-0000-0000-000094090000}"/>
    <cellStyle name="20% - Accent3 4 9 5" xfId="8393" xr:uid="{00000000-0005-0000-0000-000095090000}"/>
    <cellStyle name="20% - Accent3 5" xfId="367" xr:uid="{00000000-0005-0000-0000-000096090000}"/>
    <cellStyle name="20% - Accent3 5 10" xfId="8394" xr:uid="{00000000-0005-0000-0000-000097090000}"/>
    <cellStyle name="20% - Accent3 5 10 2" xfId="8395" xr:uid="{00000000-0005-0000-0000-000098090000}"/>
    <cellStyle name="20% - Accent3 5 10 3" xfId="8396" xr:uid="{00000000-0005-0000-0000-000099090000}"/>
    <cellStyle name="20% - Accent3 5 11" xfId="8397" xr:uid="{00000000-0005-0000-0000-00009A090000}"/>
    <cellStyle name="20% - Accent3 5 11 2" xfId="8398" xr:uid="{00000000-0005-0000-0000-00009B090000}"/>
    <cellStyle name="20% - Accent3 5 11 3" xfId="8399" xr:uid="{00000000-0005-0000-0000-00009C090000}"/>
    <cellStyle name="20% - Accent3 5 12" xfId="8400" xr:uid="{00000000-0005-0000-0000-00009D090000}"/>
    <cellStyle name="20% - Accent3 5 12 2" xfId="8401" xr:uid="{00000000-0005-0000-0000-00009E090000}"/>
    <cellStyle name="20% - Accent3 5 12 3" xfId="8402" xr:uid="{00000000-0005-0000-0000-00009F090000}"/>
    <cellStyle name="20% - Accent3 5 13" xfId="8403" xr:uid="{00000000-0005-0000-0000-0000A0090000}"/>
    <cellStyle name="20% - Accent3 5 13 2" xfId="8404" xr:uid="{00000000-0005-0000-0000-0000A1090000}"/>
    <cellStyle name="20% - Accent3 5 13 3" xfId="8405" xr:uid="{00000000-0005-0000-0000-0000A2090000}"/>
    <cellStyle name="20% - Accent3 5 14" xfId="8406" xr:uid="{00000000-0005-0000-0000-0000A3090000}"/>
    <cellStyle name="20% - Accent3 5 15" xfId="8407" xr:uid="{00000000-0005-0000-0000-0000A4090000}"/>
    <cellStyle name="20% - Accent3 5 16" xfId="8408" xr:uid="{00000000-0005-0000-0000-0000A5090000}"/>
    <cellStyle name="20% - Accent3 5 17" xfId="8409" xr:uid="{00000000-0005-0000-0000-0000A6090000}"/>
    <cellStyle name="20% - Accent3 5 2" xfId="1866" xr:uid="{00000000-0005-0000-0000-0000A7090000}"/>
    <cellStyle name="20% - Accent3 5 2 10" xfId="8410" xr:uid="{00000000-0005-0000-0000-0000A8090000}"/>
    <cellStyle name="20% - Accent3 5 2 10 2" xfId="8411" xr:uid="{00000000-0005-0000-0000-0000A9090000}"/>
    <cellStyle name="20% - Accent3 5 2 10 3" xfId="8412" xr:uid="{00000000-0005-0000-0000-0000AA090000}"/>
    <cellStyle name="20% - Accent3 5 2 11" xfId="8413" xr:uid="{00000000-0005-0000-0000-0000AB090000}"/>
    <cellStyle name="20% - Accent3 5 2 11 2" xfId="8414" xr:uid="{00000000-0005-0000-0000-0000AC090000}"/>
    <cellStyle name="20% - Accent3 5 2 11 3" xfId="8415" xr:uid="{00000000-0005-0000-0000-0000AD090000}"/>
    <cellStyle name="20% - Accent3 5 2 12" xfId="8416" xr:uid="{00000000-0005-0000-0000-0000AE090000}"/>
    <cellStyle name="20% - Accent3 5 2 12 2" xfId="8417" xr:uid="{00000000-0005-0000-0000-0000AF090000}"/>
    <cellStyle name="20% - Accent3 5 2 12 3" xfId="8418" xr:uid="{00000000-0005-0000-0000-0000B0090000}"/>
    <cellStyle name="20% - Accent3 5 2 13" xfId="8419" xr:uid="{00000000-0005-0000-0000-0000B1090000}"/>
    <cellStyle name="20% - Accent3 5 2 14" xfId="8420" xr:uid="{00000000-0005-0000-0000-0000B2090000}"/>
    <cellStyle name="20% - Accent3 5 2 15" xfId="8421" xr:uid="{00000000-0005-0000-0000-0000B3090000}"/>
    <cellStyle name="20% - Accent3 5 2 2" xfId="8422" xr:uid="{00000000-0005-0000-0000-0000B4090000}"/>
    <cellStyle name="20% - Accent3 5 2 2 2" xfId="8423" xr:uid="{00000000-0005-0000-0000-0000B5090000}"/>
    <cellStyle name="20% - Accent3 5 2 2 3" xfId="8424" xr:uid="{00000000-0005-0000-0000-0000B6090000}"/>
    <cellStyle name="20% - Accent3 5 2 3" xfId="8425" xr:uid="{00000000-0005-0000-0000-0000B7090000}"/>
    <cellStyle name="20% - Accent3 5 2 3 2" xfId="8426" xr:uid="{00000000-0005-0000-0000-0000B8090000}"/>
    <cellStyle name="20% - Accent3 5 2 3 3" xfId="8427" xr:uid="{00000000-0005-0000-0000-0000B9090000}"/>
    <cellStyle name="20% - Accent3 5 2 4" xfId="8428" xr:uid="{00000000-0005-0000-0000-0000BA090000}"/>
    <cellStyle name="20% - Accent3 5 2 4 2" xfId="8429" xr:uid="{00000000-0005-0000-0000-0000BB090000}"/>
    <cellStyle name="20% - Accent3 5 2 4 3" xfId="8430" xr:uid="{00000000-0005-0000-0000-0000BC090000}"/>
    <cellStyle name="20% - Accent3 5 2 5" xfId="8431" xr:uid="{00000000-0005-0000-0000-0000BD090000}"/>
    <cellStyle name="20% - Accent3 5 2 5 2" xfId="8432" xr:uid="{00000000-0005-0000-0000-0000BE090000}"/>
    <cellStyle name="20% - Accent3 5 2 5 3" xfId="8433" xr:uid="{00000000-0005-0000-0000-0000BF090000}"/>
    <cellStyle name="20% - Accent3 5 2 6" xfId="8434" xr:uid="{00000000-0005-0000-0000-0000C0090000}"/>
    <cellStyle name="20% - Accent3 5 2 6 2" xfId="8435" xr:uid="{00000000-0005-0000-0000-0000C1090000}"/>
    <cellStyle name="20% - Accent3 5 2 6 3" xfId="8436" xr:uid="{00000000-0005-0000-0000-0000C2090000}"/>
    <cellStyle name="20% - Accent3 5 2 7" xfId="8437" xr:uid="{00000000-0005-0000-0000-0000C3090000}"/>
    <cellStyle name="20% - Accent3 5 2 7 2" xfId="8438" xr:uid="{00000000-0005-0000-0000-0000C4090000}"/>
    <cellStyle name="20% - Accent3 5 2 7 3" xfId="8439" xr:uid="{00000000-0005-0000-0000-0000C5090000}"/>
    <cellStyle name="20% - Accent3 5 2 8" xfId="8440" xr:uid="{00000000-0005-0000-0000-0000C6090000}"/>
    <cellStyle name="20% - Accent3 5 2 8 2" xfId="8441" xr:uid="{00000000-0005-0000-0000-0000C7090000}"/>
    <cellStyle name="20% - Accent3 5 2 8 3" xfId="8442" xr:uid="{00000000-0005-0000-0000-0000C8090000}"/>
    <cellStyle name="20% - Accent3 5 2 9" xfId="8443" xr:uid="{00000000-0005-0000-0000-0000C9090000}"/>
    <cellStyle name="20% - Accent3 5 2 9 2" xfId="8444" xr:uid="{00000000-0005-0000-0000-0000CA090000}"/>
    <cellStyle name="20% - Accent3 5 2 9 3" xfId="8445" xr:uid="{00000000-0005-0000-0000-0000CB090000}"/>
    <cellStyle name="20% - Accent3 5 3" xfId="2241" xr:uid="{00000000-0005-0000-0000-0000CC090000}"/>
    <cellStyle name="20% - Accent3 5 3 2" xfId="8446" xr:uid="{00000000-0005-0000-0000-0000CD090000}"/>
    <cellStyle name="20% - Accent3 5 3 3" xfId="8447" xr:uid="{00000000-0005-0000-0000-0000CE090000}"/>
    <cellStyle name="20% - Accent3 5 3 4" xfId="8448" xr:uid="{00000000-0005-0000-0000-0000CF090000}"/>
    <cellStyle name="20% - Accent3 5 4" xfId="2615" xr:uid="{00000000-0005-0000-0000-0000D0090000}"/>
    <cellStyle name="20% - Accent3 5 4 2" xfId="8449" xr:uid="{00000000-0005-0000-0000-0000D1090000}"/>
    <cellStyle name="20% - Accent3 5 4 3" xfId="8450" xr:uid="{00000000-0005-0000-0000-0000D2090000}"/>
    <cellStyle name="20% - Accent3 5 4 4" xfId="8451" xr:uid="{00000000-0005-0000-0000-0000D3090000}"/>
    <cellStyle name="20% - Accent3 5 5" xfId="2987" xr:uid="{00000000-0005-0000-0000-0000D4090000}"/>
    <cellStyle name="20% - Accent3 5 5 2" xfId="8452" xr:uid="{00000000-0005-0000-0000-0000D5090000}"/>
    <cellStyle name="20% - Accent3 5 5 3" xfId="8453" xr:uid="{00000000-0005-0000-0000-0000D6090000}"/>
    <cellStyle name="20% - Accent3 5 5 4" xfId="8454" xr:uid="{00000000-0005-0000-0000-0000D7090000}"/>
    <cellStyle name="20% - Accent3 5 6" xfId="3359" xr:uid="{00000000-0005-0000-0000-0000D8090000}"/>
    <cellStyle name="20% - Accent3 5 6 2" xfId="8455" xr:uid="{00000000-0005-0000-0000-0000D9090000}"/>
    <cellStyle name="20% - Accent3 5 6 3" xfId="8456" xr:uid="{00000000-0005-0000-0000-0000DA090000}"/>
    <cellStyle name="20% - Accent3 5 6 4" xfId="8457" xr:uid="{00000000-0005-0000-0000-0000DB090000}"/>
    <cellStyle name="20% - Accent3 5 7" xfId="4321" xr:uid="{00000000-0005-0000-0000-0000DC090000}"/>
    <cellStyle name="20% - Accent3 5 7 2" xfId="8459" xr:uid="{00000000-0005-0000-0000-0000DD090000}"/>
    <cellStyle name="20% - Accent3 5 7 3" xfId="8460" xr:uid="{00000000-0005-0000-0000-0000DE090000}"/>
    <cellStyle name="20% - Accent3 5 7 4" xfId="8458" xr:uid="{00000000-0005-0000-0000-0000DF090000}"/>
    <cellStyle name="20% - Accent3 5 8" xfId="8461" xr:uid="{00000000-0005-0000-0000-0000E0090000}"/>
    <cellStyle name="20% - Accent3 5 8 2" xfId="8462" xr:uid="{00000000-0005-0000-0000-0000E1090000}"/>
    <cellStyle name="20% - Accent3 5 8 3" xfId="8463" xr:uid="{00000000-0005-0000-0000-0000E2090000}"/>
    <cellStyle name="20% - Accent3 5 9" xfId="8464" xr:uid="{00000000-0005-0000-0000-0000E3090000}"/>
    <cellStyle name="20% - Accent3 5 9 2" xfId="8465" xr:uid="{00000000-0005-0000-0000-0000E4090000}"/>
    <cellStyle name="20% - Accent3 5 9 3" xfId="8466" xr:uid="{00000000-0005-0000-0000-0000E5090000}"/>
    <cellStyle name="20% - Accent3 6" xfId="368" xr:uid="{00000000-0005-0000-0000-0000E6090000}"/>
    <cellStyle name="20% - Accent3 6 10" xfId="5332" xr:uid="{00000000-0005-0000-0000-0000E7090000}"/>
    <cellStyle name="20% - Accent3 6 10 2" xfId="6037" xr:uid="{00000000-0005-0000-0000-0000E8090000}"/>
    <cellStyle name="20% - Accent3 6 10 2 2" xfId="8469" xr:uid="{00000000-0005-0000-0000-0000E9090000}"/>
    <cellStyle name="20% - Accent3 6 10 2 3" xfId="25499" xr:uid="{00000000-0005-0000-0000-0000EA090000}"/>
    <cellStyle name="20% - Accent3 6 10 3" xfId="8470" xr:uid="{00000000-0005-0000-0000-0000EB090000}"/>
    <cellStyle name="20% - Accent3 6 10 4" xfId="8468" xr:uid="{00000000-0005-0000-0000-0000EC090000}"/>
    <cellStyle name="20% - Accent3 6 10 5" xfId="25498" xr:uid="{00000000-0005-0000-0000-0000ED090000}"/>
    <cellStyle name="20% - Accent3 6 11" xfId="5642" xr:uid="{00000000-0005-0000-0000-0000EE090000}"/>
    <cellStyle name="20% - Accent3 6 11 2" xfId="6038" xr:uid="{00000000-0005-0000-0000-0000EF090000}"/>
    <cellStyle name="20% - Accent3 6 11 2 2" xfId="8472" xr:uid="{00000000-0005-0000-0000-0000F0090000}"/>
    <cellStyle name="20% - Accent3 6 11 2 3" xfId="25501" xr:uid="{00000000-0005-0000-0000-0000F1090000}"/>
    <cellStyle name="20% - Accent3 6 11 3" xfId="8473" xr:uid="{00000000-0005-0000-0000-0000F2090000}"/>
    <cellStyle name="20% - Accent3 6 11 4" xfId="8471" xr:uid="{00000000-0005-0000-0000-0000F3090000}"/>
    <cellStyle name="20% - Accent3 6 11 5" xfId="25500" xr:uid="{00000000-0005-0000-0000-0000F4090000}"/>
    <cellStyle name="20% - Accent3 6 12" xfId="4322" xr:uid="{00000000-0005-0000-0000-0000F5090000}"/>
    <cellStyle name="20% - Accent3 6 12 2" xfId="6039" xr:uid="{00000000-0005-0000-0000-0000F6090000}"/>
    <cellStyle name="20% - Accent3 6 12 2 2" xfId="8475" xr:uid="{00000000-0005-0000-0000-0000F7090000}"/>
    <cellStyle name="20% - Accent3 6 12 2 3" xfId="25503" xr:uid="{00000000-0005-0000-0000-0000F8090000}"/>
    <cellStyle name="20% - Accent3 6 12 3" xfId="8476" xr:uid="{00000000-0005-0000-0000-0000F9090000}"/>
    <cellStyle name="20% - Accent3 6 12 4" xfId="8474" xr:uid="{00000000-0005-0000-0000-0000FA090000}"/>
    <cellStyle name="20% - Accent3 6 12 5" xfId="25502" xr:uid="{00000000-0005-0000-0000-0000FB090000}"/>
    <cellStyle name="20% - Accent3 6 13" xfId="6036" xr:uid="{00000000-0005-0000-0000-0000FC090000}"/>
    <cellStyle name="20% - Accent3 6 13 2" xfId="8477" xr:uid="{00000000-0005-0000-0000-0000FD090000}"/>
    <cellStyle name="20% - Accent3 6 13 3" xfId="25504" xr:uid="{00000000-0005-0000-0000-0000FE090000}"/>
    <cellStyle name="20% - Accent3 6 14" xfId="8478" xr:uid="{00000000-0005-0000-0000-0000FF090000}"/>
    <cellStyle name="20% - Accent3 6 15" xfId="8479" xr:uid="{00000000-0005-0000-0000-0000000A0000}"/>
    <cellStyle name="20% - Accent3 6 16" xfId="8480" xr:uid="{00000000-0005-0000-0000-0000010A0000}"/>
    <cellStyle name="20% - Accent3 6 16 2" xfId="8481" xr:uid="{00000000-0005-0000-0000-0000020A0000}"/>
    <cellStyle name="20% - Accent3 6 16 2 2" xfId="25506" xr:uid="{00000000-0005-0000-0000-0000030A0000}"/>
    <cellStyle name="20% - Accent3 6 16 2 3" xfId="28350" xr:uid="{00000000-0005-0000-0000-0000040A0000}"/>
    <cellStyle name="20% - Accent3 6 16 3" xfId="8482" xr:uid="{00000000-0005-0000-0000-0000050A0000}"/>
    <cellStyle name="20% - Accent3 6 16 3 2" xfId="25507" xr:uid="{00000000-0005-0000-0000-0000060A0000}"/>
    <cellStyle name="20% - Accent3 6 16 3 3" xfId="28351" xr:uid="{00000000-0005-0000-0000-0000070A0000}"/>
    <cellStyle name="20% - Accent3 6 16 4" xfId="25505" xr:uid="{00000000-0005-0000-0000-0000080A0000}"/>
    <cellStyle name="20% - Accent3 6 16 5" xfId="28349" xr:uid="{00000000-0005-0000-0000-0000090A0000}"/>
    <cellStyle name="20% - Accent3 6 17" xfId="8483" xr:uid="{00000000-0005-0000-0000-00000A0A0000}"/>
    <cellStyle name="20% - Accent3 6 17 2" xfId="25508" xr:uid="{00000000-0005-0000-0000-00000B0A0000}"/>
    <cellStyle name="20% - Accent3 6 17 3" xfId="28352" xr:uid="{00000000-0005-0000-0000-00000C0A0000}"/>
    <cellStyle name="20% - Accent3 6 18" xfId="8484" xr:uid="{00000000-0005-0000-0000-00000D0A0000}"/>
    <cellStyle name="20% - Accent3 6 18 2" xfId="25509" xr:uid="{00000000-0005-0000-0000-00000E0A0000}"/>
    <cellStyle name="20% - Accent3 6 18 3" xfId="28353" xr:uid="{00000000-0005-0000-0000-00000F0A0000}"/>
    <cellStyle name="20% - Accent3 6 19" xfId="8467" xr:uid="{00000000-0005-0000-0000-0000100A0000}"/>
    <cellStyle name="20% - Accent3 6 19 2" xfId="25510" xr:uid="{00000000-0005-0000-0000-0000110A0000}"/>
    <cellStyle name="20% - Accent3 6 2" xfId="1971" xr:uid="{00000000-0005-0000-0000-0000120A0000}"/>
    <cellStyle name="20% - Accent3 6 2 2" xfId="4323" xr:uid="{00000000-0005-0000-0000-0000130A0000}"/>
    <cellStyle name="20% - Accent3 6 2 2 2" xfId="8485" xr:uid="{00000000-0005-0000-0000-0000140A0000}"/>
    <cellStyle name="20% - Accent3 6 2 3" xfId="8486" xr:uid="{00000000-0005-0000-0000-0000150A0000}"/>
    <cellStyle name="20% - Accent3 6 2 4" xfId="8487" xr:uid="{00000000-0005-0000-0000-0000160A0000}"/>
    <cellStyle name="20% - Accent3 6 2 5" xfId="8488" xr:uid="{00000000-0005-0000-0000-0000170A0000}"/>
    <cellStyle name="20% - Accent3 6 20" xfId="24833" xr:uid="{00000000-0005-0000-0000-0000180A0000}"/>
    <cellStyle name="20% - Accent3 6 21" xfId="25497" xr:uid="{00000000-0005-0000-0000-0000190A0000}"/>
    <cellStyle name="20% - Accent3 6 22" xfId="28348" xr:uid="{00000000-0005-0000-0000-00001A0A0000}"/>
    <cellStyle name="20% - Accent3 6 3" xfId="2346" xr:uid="{00000000-0005-0000-0000-00001B0A0000}"/>
    <cellStyle name="20% - Accent3 6 3 2" xfId="4324" xr:uid="{00000000-0005-0000-0000-00001C0A0000}"/>
    <cellStyle name="20% - Accent3 6 3 2 2" xfId="8489" xr:uid="{00000000-0005-0000-0000-00001D0A0000}"/>
    <cellStyle name="20% - Accent3 6 3 3" xfId="8490" xr:uid="{00000000-0005-0000-0000-00001E0A0000}"/>
    <cellStyle name="20% - Accent3 6 3 4" xfId="8491" xr:uid="{00000000-0005-0000-0000-00001F0A0000}"/>
    <cellStyle name="20% - Accent3 6 3 5" xfId="8492" xr:uid="{00000000-0005-0000-0000-0000200A0000}"/>
    <cellStyle name="20% - Accent3 6 4" xfId="2719" xr:uid="{00000000-0005-0000-0000-0000210A0000}"/>
    <cellStyle name="20% - Accent3 6 4 2" xfId="4325" xr:uid="{00000000-0005-0000-0000-0000220A0000}"/>
    <cellStyle name="20% - Accent3 6 4 2 2" xfId="8493" xr:uid="{00000000-0005-0000-0000-0000230A0000}"/>
    <cellStyle name="20% - Accent3 6 4 3" xfId="8494" xr:uid="{00000000-0005-0000-0000-0000240A0000}"/>
    <cellStyle name="20% - Accent3 6 4 4" xfId="8495" xr:uid="{00000000-0005-0000-0000-0000250A0000}"/>
    <cellStyle name="20% - Accent3 6 4 5" xfId="8496" xr:uid="{00000000-0005-0000-0000-0000260A0000}"/>
    <cellStyle name="20% - Accent3 6 5" xfId="3092" xr:uid="{00000000-0005-0000-0000-0000270A0000}"/>
    <cellStyle name="20% - Accent3 6 5 2" xfId="4326" xr:uid="{00000000-0005-0000-0000-0000280A0000}"/>
    <cellStyle name="20% - Accent3 6 5 2 2" xfId="8497" xr:uid="{00000000-0005-0000-0000-0000290A0000}"/>
    <cellStyle name="20% - Accent3 6 5 3" xfId="8498" xr:uid="{00000000-0005-0000-0000-00002A0A0000}"/>
    <cellStyle name="20% - Accent3 6 5 4" xfId="8499" xr:uid="{00000000-0005-0000-0000-00002B0A0000}"/>
    <cellStyle name="20% - Accent3 6 5 5" xfId="8500" xr:uid="{00000000-0005-0000-0000-00002C0A0000}"/>
    <cellStyle name="20% - Accent3 6 6" xfId="3463" xr:uid="{00000000-0005-0000-0000-00002D0A0000}"/>
    <cellStyle name="20% - Accent3 6 6 2" xfId="4327" xr:uid="{00000000-0005-0000-0000-00002E0A0000}"/>
    <cellStyle name="20% - Accent3 6 6 2 2" xfId="8501" xr:uid="{00000000-0005-0000-0000-00002F0A0000}"/>
    <cellStyle name="20% - Accent3 6 6 3" xfId="8502" xr:uid="{00000000-0005-0000-0000-0000300A0000}"/>
    <cellStyle name="20% - Accent3 6 6 4" xfId="8503" xr:uid="{00000000-0005-0000-0000-0000310A0000}"/>
    <cellStyle name="20% - Accent3 6 6 5" xfId="8504" xr:uid="{00000000-0005-0000-0000-0000320A0000}"/>
    <cellStyle name="20% - Accent3 6 7" xfId="3769" xr:uid="{00000000-0005-0000-0000-0000330A0000}"/>
    <cellStyle name="20% - Accent3 6 7 2" xfId="4328" xr:uid="{00000000-0005-0000-0000-0000340A0000}"/>
    <cellStyle name="20% - Accent3 6 7 2 2" xfId="8505" xr:uid="{00000000-0005-0000-0000-0000350A0000}"/>
    <cellStyle name="20% - Accent3 6 7 3" xfId="8506" xr:uid="{00000000-0005-0000-0000-0000360A0000}"/>
    <cellStyle name="20% - Accent3 6 7 4" xfId="8507" xr:uid="{00000000-0005-0000-0000-0000370A0000}"/>
    <cellStyle name="20% - Accent3 6 7 5" xfId="8508" xr:uid="{00000000-0005-0000-0000-0000380A0000}"/>
    <cellStyle name="20% - Accent3 6 8" xfId="1361" xr:uid="{00000000-0005-0000-0000-0000390A0000}"/>
    <cellStyle name="20% - Accent3 6 8 10" xfId="25511" xr:uid="{00000000-0005-0000-0000-00003A0A0000}"/>
    <cellStyle name="20% - Accent3 6 8 11" xfId="28354" xr:uid="{00000000-0005-0000-0000-00003B0A0000}"/>
    <cellStyle name="20% - Accent3 6 8 2" xfId="4161" xr:uid="{00000000-0005-0000-0000-00003C0A0000}"/>
    <cellStyle name="20% - Accent3 6 8 2 2" xfId="5334" xr:uid="{00000000-0005-0000-0000-00003D0A0000}"/>
    <cellStyle name="20% - Accent3 6 8 2 2 2" xfId="6042" xr:uid="{00000000-0005-0000-0000-00003E0A0000}"/>
    <cellStyle name="20% - Accent3 6 8 2 2 2 2" xfId="25514" xr:uid="{00000000-0005-0000-0000-00003F0A0000}"/>
    <cellStyle name="20% - Accent3 6 8 2 2 3" xfId="8511" xr:uid="{00000000-0005-0000-0000-0000400A0000}"/>
    <cellStyle name="20% - Accent3 6 8 2 2 4" xfId="25513" xr:uid="{00000000-0005-0000-0000-0000410A0000}"/>
    <cellStyle name="20% - Accent3 6 8 2 3" xfId="5644" xr:uid="{00000000-0005-0000-0000-0000420A0000}"/>
    <cellStyle name="20% - Accent3 6 8 2 3 2" xfId="6043" xr:uid="{00000000-0005-0000-0000-0000430A0000}"/>
    <cellStyle name="20% - Accent3 6 8 2 3 2 2" xfId="25516" xr:uid="{00000000-0005-0000-0000-0000440A0000}"/>
    <cellStyle name="20% - Accent3 6 8 2 3 3" xfId="25515" xr:uid="{00000000-0005-0000-0000-0000450A0000}"/>
    <cellStyle name="20% - Accent3 6 8 2 4" xfId="4330" xr:uid="{00000000-0005-0000-0000-0000460A0000}"/>
    <cellStyle name="20% - Accent3 6 8 2 4 2" xfId="6044" xr:uid="{00000000-0005-0000-0000-0000470A0000}"/>
    <cellStyle name="20% - Accent3 6 8 2 4 2 2" xfId="25518" xr:uid="{00000000-0005-0000-0000-0000480A0000}"/>
    <cellStyle name="20% - Accent3 6 8 2 4 3" xfId="25517" xr:uid="{00000000-0005-0000-0000-0000490A0000}"/>
    <cellStyle name="20% - Accent3 6 8 2 5" xfId="6041" xr:uid="{00000000-0005-0000-0000-00004A0A0000}"/>
    <cellStyle name="20% - Accent3 6 8 2 5 2" xfId="25519" xr:uid="{00000000-0005-0000-0000-00004B0A0000}"/>
    <cellStyle name="20% - Accent3 6 8 2 6" xfId="8510" xr:uid="{00000000-0005-0000-0000-00004C0A0000}"/>
    <cellStyle name="20% - Accent3 6 8 2 6 2" xfId="25520" xr:uid="{00000000-0005-0000-0000-00004D0A0000}"/>
    <cellStyle name="20% - Accent3 6 8 2 7" xfId="25013" xr:uid="{00000000-0005-0000-0000-00004E0A0000}"/>
    <cellStyle name="20% - Accent3 6 8 2 8" xfId="25512" xr:uid="{00000000-0005-0000-0000-00004F0A0000}"/>
    <cellStyle name="20% - Accent3 6 8 2 9" xfId="28355" xr:uid="{00000000-0005-0000-0000-0000500A0000}"/>
    <cellStyle name="20% - Accent3 6 8 3" xfId="5333" xr:uid="{00000000-0005-0000-0000-0000510A0000}"/>
    <cellStyle name="20% - Accent3 6 8 3 2" xfId="6045" xr:uid="{00000000-0005-0000-0000-0000520A0000}"/>
    <cellStyle name="20% - Accent3 6 8 3 2 2" xfId="25522" xr:uid="{00000000-0005-0000-0000-0000530A0000}"/>
    <cellStyle name="20% - Accent3 6 8 3 3" xfId="8512" xr:uid="{00000000-0005-0000-0000-0000540A0000}"/>
    <cellStyle name="20% - Accent3 6 8 3 4" xfId="25521" xr:uid="{00000000-0005-0000-0000-0000550A0000}"/>
    <cellStyle name="20% - Accent3 6 8 4" xfId="5643" xr:uid="{00000000-0005-0000-0000-0000560A0000}"/>
    <cellStyle name="20% - Accent3 6 8 4 2" xfId="6046" xr:uid="{00000000-0005-0000-0000-0000570A0000}"/>
    <cellStyle name="20% - Accent3 6 8 4 2 2" xfId="25524" xr:uid="{00000000-0005-0000-0000-0000580A0000}"/>
    <cellStyle name="20% - Accent3 6 8 4 3" xfId="8513" xr:uid="{00000000-0005-0000-0000-0000590A0000}"/>
    <cellStyle name="20% - Accent3 6 8 4 4" xfId="25523" xr:uid="{00000000-0005-0000-0000-00005A0A0000}"/>
    <cellStyle name="20% - Accent3 6 8 5" xfId="4329" xr:uid="{00000000-0005-0000-0000-00005B0A0000}"/>
    <cellStyle name="20% - Accent3 6 8 5 2" xfId="6047" xr:uid="{00000000-0005-0000-0000-00005C0A0000}"/>
    <cellStyle name="20% - Accent3 6 8 5 2 2" xfId="8515" xr:uid="{00000000-0005-0000-0000-00005D0A0000}"/>
    <cellStyle name="20% - Accent3 6 8 5 2 2 2" xfId="25527" xr:uid="{00000000-0005-0000-0000-00005E0A0000}"/>
    <cellStyle name="20% - Accent3 6 8 5 2 3" xfId="25526" xr:uid="{00000000-0005-0000-0000-00005F0A0000}"/>
    <cellStyle name="20% - Accent3 6 8 5 2 4" xfId="28357" xr:uid="{00000000-0005-0000-0000-0000600A0000}"/>
    <cellStyle name="20% - Accent3 6 8 5 3" xfId="8516" xr:uid="{00000000-0005-0000-0000-0000610A0000}"/>
    <cellStyle name="20% - Accent3 6 8 5 3 2" xfId="25528" xr:uid="{00000000-0005-0000-0000-0000620A0000}"/>
    <cellStyle name="20% - Accent3 6 8 5 3 3" xfId="28358" xr:uid="{00000000-0005-0000-0000-0000630A0000}"/>
    <cellStyle name="20% - Accent3 6 8 5 4" xfId="8514" xr:uid="{00000000-0005-0000-0000-0000640A0000}"/>
    <cellStyle name="20% - Accent3 6 8 5 4 2" xfId="25529" xr:uid="{00000000-0005-0000-0000-0000650A0000}"/>
    <cellStyle name="20% - Accent3 6 8 5 5" xfId="25525" xr:uid="{00000000-0005-0000-0000-0000660A0000}"/>
    <cellStyle name="20% - Accent3 6 8 5 6" xfId="28356" xr:uid="{00000000-0005-0000-0000-0000670A0000}"/>
    <cellStyle name="20% - Accent3 6 8 6" xfId="6040" xr:uid="{00000000-0005-0000-0000-0000680A0000}"/>
    <cellStyle name="20% - Accent3 6 8 6 2" xfId="8517" xr:uid="{00000000-0005-0000-0000-0000690A0000}"/>
    <cellStyle name="20% - Accent3 6 8 6 2 2" xfId="25531" xr:uid="{00000000-0005-0000-0000-00006A0A0000}"/>
    <cellStyle name="20% - Accent3 6 8 6 3" xfId="25530" xr:uid="{00000000-0005-0000-0000-00006B0A0000}"/>
    <cellStyle name="20% - Accent3 6 8 6 4" xfId="28359" xr:uid="{00000000-0005-0000-0000-00006C0A0000}"/>
    <cellStyle name="20% - Accent3 6 8 7" xfId="8518" xr:uid="{00000000-0005-0000-0000-00006D0A0000}"/>
    <cellStyle name="20% - Accent3 6 8 7 2" xfId="25532" xr:uid="{00000000-0005-0000-0000-00006E0A0000}"/>
    <cellStyle name="20% - Accent3 6 8 7 3" xfId="28360" xr:uid="{00000000-0005-0000-0000-00006F0A0000}"/>
    <cellStyle name="20% - Accent3 6 8 8" xfId="8509" xr:uid="{00000000-0005-0000-0000-0000700A0000}"/>
    <cellStyle name="20% - Accent3 6 8 8 2" xfId="25533" xr:uid="{00000000-0005-0000-0000-0000710A0000}"/>
    <cellStyle name="20% - Accent3 6 8 9" xfId="24893" xr:uid="{00000000-0005-0000-0000-0000720A0000}"/>
    <cellStyle name="20% - Accent3 6 9" xfId="3819" xr:uid="{00000000-0005-0000-0000-0000730A0000}"/>
    <cellStyle name="20% - Accent3 6 9 2" xfId="5335" xr:uid="{00000000-0005-0000-0000-0000740A0000}"/>
    <cellStyle name="20% - Accent3 6 9 2 2" xfId="6049" xr:uid="{00000000-0005-0000-0000-0000750A0000}"/>
    <cellStyle name="20% - Accent3 6 9 2 2 2" xfId="25536" xr:uid="{00000000-0005-0000-0000-0000760A0000}"/>
    <cellStyle name="20% - Accent3 6 9 2 3" xfId="8520" xr:uid="{00000000-0005-0000-0000-0000770A0000}"/>
    <cellStyle name="20% - Accent3 6 9 2 4" xfId="25535" xr:uid="{00000000-0005-0000-0000-0000780A0000}"/>
    <cellStyle name="20% - Accent3 6 9 3" xfId="5645" xr:uid="{00000000-0005-0000-0000-0000790A0000}"/>
    <cellStyle name="20% - Accent3 6 9 3 2" xfId="6050" xr:uid="{00000000-0005-0000-0000-00007A0A0000}"/>
    <cellStyle name="20% - Accent3 6 9 3 2 2" xfId="25538" xr:uid="{00000000-0005-0000-0000-00007B0A0000}"/>
    <cellStyle name="20% - Accent3 6 9 3 3" xfId="8521" xr:uid="{00000000-0005-0000-0000-00007C0A0000}"/>
    <cellStyle name="20% - Accent3 6 9 3 4" xfId="25537" xr:uid="{00000000-0005-0000-0000-00007D0A0000}"/>
    <cellStyle name="20% - Accent3 6 9 4" xfId="4331" xr:uid="{00000000-0005-0000-0000-00007E0A0000}"/>
    <cellStyle name="20% - Accent3 6 9 4 2" xfId="6051" xr:uid="{00000000-0005-0000-0000-00007F0A0000}"/>
    <cellStyle name="20% - Accent3 6 9 4 2 2" xfId="25540" xr:uid="{00000000-0005-0000-0000-0000800A0000}"/>
    <cellStyle name="20% - Accent3 6 9 4 3" xfId="8522" xr:uid="{00000000-0005-0000-0000-0000810A0000}"/>
    <cellStyle name="20% - Accent3 6 9 4 4" xfId="25539" xr:uid="{00000000-0005-0000-0000-0000820A0000}"/>
    <cellStyle name="20% - Accent3 6 9 5" xfId="6048" xr:uid="{00000000-0005-0000-0000-0000830A0000}"/>
    <cellStyle name="20% - Accent3 6 9 5 2" xfId="25541" xr:uid="{00000000-0005-0000-0000-0000840A0000}"/>
    <cellStyle name="20% - Accent3 6 9 6" xfId="8519" xr:uid="{00000000-0005-0000-0000-0000850A0000}"/>
    <cellStyle name="20% - Accent3 6 9 6 2" xfId="25542" xr:uid="{00000000-0005-0000-0000-0000860A0000}"/>
    <cellStyle name="20% - Accent3 6 9 7" xfId="24955" xr:uid="{00000000-0005-0000-0000-0000870A0000}"/>
    <cellStyle name="20% - Accent3 6 9 8" xfId="25534" xr:uid="{00000000-0005-0000-0000-0000880A0000}"/>
    <cellStyle name="20% - Accent3 6 9 9" xfId="28361" xr:uid="{00000000-0005-0000-0000-0000890A0000}"/>
    <cellStyle name="20% - Accent3 7" xfId="369" xr:uid="{00000000-0005-0000-0000-00008A0A0000}"/>
    <cellStyle name="20% - Accent3 7 10" xfId="8523" xr:uid="{00000000-0005-0000-0000-00008B0A0000}"/>
    <cellStyle name="20% - Accent3 7 10 2" xfId="8524" xr:uid="{00000000-0005-0000-0000-00008C0A0000}"/>
    <cellStyle name="20% - Accent3 7 10 3" xfId="8525" xr:uid="{00000000-0005-0000-0000-00008D0A0000}"/>
    <cellStyle name="20% - Accent3 7 11" xfId="8526" xr:uid="{00000000-0005-0000-0000-00008E0A0000}"/>
    <cellStyle name="20% - Accent3 7 11 2" xfId="8527" xr:uid="{00000000-0005-0000-0000-00008F0A0000}"/>
    <cellStyle name="20% - Accent3 7 11 3" xfId="8528" xr:uid="{00000000-0005-0000-0000-0000900A0000}"/>
    <cellStyle name="20% - Accent3 7 12" xfId="8529" xr:uid="{00000000-0005-0000-0000-0000910A0000}"/>
    <cellStyle name="20% - Accent3 7 12 2" xfId="8530" xr:uid="{00000000-0005-0000-0000-0000920A0000}"/>
    <cellStyle name="20% - Accent3 7 12 3" xfId="8531" xr:uid="{00000000-0005-0000-0000-0000930A0000}"/>
    <cellStyle name="20% - Accent3 7 13" xfId="8532" xr:uid="{00000000-0005-0000-0000-0000940A0000}"/>
    <cellStyle name="20% - Accent3 7 14" xfId="8533" xr:uid="{00000000-0005-0000-0000-0000950A0000}"/>
    <cellStyle name="20% - Accent3 7 15" xfId="8534" xr:uid="{00000000-0005-0000-0000-0000960A0000}"/>
    <cellStyle name="20% - Accent3 7 16" xfId="8535" xr:uid="{00000000-0005-0000-0000-0000970A0000}"/>
    <cellStyle name="20% - Accent3 7 2" xfId="4332" xr:uid="{00000000-0005-0000-0000-0000980A0000}"/>
    <cellStyle name="20% - Accent3 7 2 2" xfId="8537" xr:uid="{00000000-0005-0000-0000-0000990A0000}"/>
    <cellStyle name="20% - Accent3 7 2 3" xfId="8538" xr:uid="{00000000-0005-0000-0000-00009A0A0000}"/>
    <cellStyle name="20% - Accent3 7 2 4" xfId="8536" xr:uid="{00000000-0005-0000-0000-00009B0A0000}"/>
    <cellStyle name="20% - Accent3 7 3" xfId="8539" xr:uid="{00000000-0005-0000-0000-00009C0A0000}"/>
    <cellStyle name="20% - Accent3 7 3 2" xfId="8540" xr:uid="{00000000-0005-0000-0000-00009D0A0000}"/>
    <cellStyle name="20% - Accent3 7 3 3" xfId="8541" xr:uid="{00000000-0005-0000-0000-00009E0A0000}"/>
    <cellStyle name="20% - Accent3 7 4" xfId="8542" xr:uid="{00000000-0005-0000-0000-00009F0A0000}"/>
    <cellStyle name="20% - Accent3 7 4 2" xfId="8543" xr:uid="{00000000-0005-0000-0000-0000A00A0000}"/>
    <cellStyle name="20% - Accent3 7 4 3" xfId="8544" xr:uid="{00000000-0005-0000-0000-0000A10A0000}"/>
    <cellStyle name="20% - Accent3 7 5" xfId="8545" xr:uid="{00000000-0005-0000-0000-0000A20A0000}"/>
    <cellStyle name="20% - Accent3 7 5 2" xfId="8546" xr:uid="{00000000-0005-0000-0000-0000A30A0000}"/>
    <cellStyle name="20% - Accent3 7 5 3" xfId="8547" xr:uid="{00000000-0005-0000-0000-0000A40A0000}"/>
    <cellStyle name="20% - Accent3 7 6" xfId="8548" xr:uid="{00000000-0005-0000-0000-0000A50A0000}"/>
    <cellStyle name="20% - Accent3 7 6 2" xfId="8549" xr:uid="{00000000-0005-0000-0000-0000A60A0000}"/>
    <cellStyle name="20% - Accent3 7 6 3" xfId="8550" xr:uid="{00000000-0005-0000-0000-0000A70A0000}"/>
    <cellStyle name="20% - Accent3 7 7" xfId="8551" xr:uid="{00000000-0005-0000-0000-0000A80A0000}"/>
    <cellStyle name="20% - Accent3 7 7 2" xfId="8552" xr:uid="{00000000-0005-0000-0000-0000A90A0000}"/>
    <cellStyle name="20% - Accent3 7 7 3" xfId="8553" xr:uid="{00000000-0005-0000-0000-0000AA0A0000}"/>
    <cellStyle name="20% - Accent3 7 8" xfId="8554" xr:uid="{00000000-0005-0000-0000-0000AB0A0000}"/>
    <cellStyle name="20% - Accent3 7 8 2" xfId="8555" xr:uid="{00000000-0005-0000-0000-0000AC0A0000}"/>
    <cellStyle name="20% - Accent3 7 8 3" xfId="8556" xr:uid="{00000000-0005-0000-0000-0000AD0A0000}"/>
    <cellStyle name="20% - Accent3 7 9" xfId="8557" xr:uid="{00000000-0005-0000-0000-0000AE0A0000}"/>
    <cellStyle name="20% - Accent3 7 9 2" xfId="8558" xr:uid="{00000000-0005-0000-0000-0000AF0A0000}"/>
    <cellStyle name="20% - Accent3 7 9 3" xfId="8559" xr:uid="{00000000-0005-0000-0000-0000B00A0000}"/>
    <cellStyle name="20% - Accent3 8" xfId="526" xr:uid="{00000000-0005-0000-0000-0000B10A0000}"/>
    <cellStyle name="20% - Accent3 8 10" xfId="24847" xr:uid="{00000000-0005-0000-0000-0000B20A0000}"/>
    <cellStyle name="20% - Accent3 8 11" xfId="25543" xr:uid="{00000000-0005-0000-0000-0000B30A0000}"/>
    <cellStyle name="20% - Accent3 8 12" xfId="28362" xr:uid="{00000000-0005-0000-0000-0000B40A0000}"/>
    <cellStyle name="20% - Accent3 8 2" xfId="1376" xr:uid="{00000000-0005-0000-0000-0000B50A0000}"/>
    <cellStyle name="20% - Accent3 8 2 10" xfId="25544" xr:uid="{00000000-0005-0000-0000-0000B60A0000}"/>
    <cellStyle name="20% - Accent3 8 2 11" xfId="28363" xr:uid="{00000000-0005-0000-0000-0000B70A0000}"/>
    <cellStyle name="20% - Accent3 8 2 2" xfId="4176" xr:uid="{00000000-0005-0000-0000-0000B80A0000}"/>
    <cellStyle name="20% - Accent3 8 2 2 2" xfId="5338" xr:uid="{00000000-0005-0000-0000-0000B90A0000}"/>
    <cellStyle name="20% - Accent3 8 2 2 2 2" xfId="6055" xr:uid="{00000000-0005-0000-0000-0000BA0A0000}"/>
    <cellStyle name="20% - Accent3 8 2 2 2 2 2" xfId="25547" xr:uid="{00000000-0005-0000-0000-0000BB0A0000}"/>
    <cellStyle name="20% - Accent3 8 2 2 2 3" xfId="8563" xr:uid="{00000000-0005-0000-0000-0000BC0A0000}"/>
    <cellStyle name="20% - Accent3 8 2 2 2 4" xfId="25546" xr:uid="{00000000-0005-0000-0000-0000BD0A0000}"/>
    <cellStyle name="20% - Accent3 8 2 2 3" xfId="5648" xr:uid="{00000000-0005-0000-0000-0000BE0A0000}"/>
    <cellStyle name="20% - Accent3 8 2 2 3 2" xfId="6056" xr:uid="{00000000-0005-0000-0000-0000BF0A0000}"/>
    <cellStyle name="20% - Accent3 8 2 2 3 2 2" xfId="25549" xr:uid="{00000000-0005-0000-0000-0000C00A0000}"/>
    <cellStyle name="20% - Accent3 8 2 2 3 3" xfId="25548" xr:uid="{00000000-0005-0000-0000-0000C10A0000}"/>
    <cellStyle name="20% - Accent3 8 2 2 4" xfId="4335" xr:uid="{00000000-0005-0000-0000-0000C20A0000}"/>
    <cellStyle name="20% - Accent3 8 2 2 4 2" xfId="6057" xr:uid="{00000000-0005-0000-0000-0000C30A0000}"/>
    <cellStyle name="20% - Accent3 8 2 2 4 2 2" xfId="25551" xr:uid="{00000000-0005-0000-0000-0000C40A0000}"/>
    <cellStyle name="20% - Accent3 8 2 2 4 3" xfId="25550" xr:uid="{00000000-0005-0000-0000-0000C50A0000}"/>
    <cellStyle name="20% - Accent3 8 2 2 5" xfId="6054" xr:uid="{00000000-0005-0000-0000-0000C60A0000}"/>
    <cellStyle name="20% - Accent3 8 2 2 5 2" xfId="25552" xr:uid="{00000000-0005-0000-0000-0000C70A0000}"/>
    <cellStyle name="20% - Accent3 8 2 2 6" xfId="8562" xr:uid="{00000000-0005-0000-0000-0000C80A0000}"/>
    <cellStyle name="20% - Accent3 8 2 2 6 2" xfId="25553" xr:uid="{00000000-0005-0000-0000-0000C90A0000}"/>
    <cellStyle name="20% - Accent3 8 2 2 7" xfId="25028" xr:uid="{00000000-0005-0000-0000-0000CA0A0000}"/>
    <cellStyle name="20% - Accent3 8 2 2 8" xfId="25545" xr:uid="{00000000-0005-0000-0000-0000CB0A0000}"/>
    <cellStyle name="20% - Accent3 8 2 2 9" xfId="28364" xr:uid="{00000000-0005-0000-0000-0000CC0A0000}"/>
    <cellStyle name="20% - Accent3 8 2 3" xfId="5337" xr:uid="{00000000-0005-0000-0000-0000CD0A0000}"/>
    <cellStyle name="20% - Accent3 8 2 3 2" xfId="6058" xr:uid="{00000000-0005-0000-0000-0000CE0A0000}"/>
    <cellStyle name="20% - Accent3 8 2 3 2 2" xfId="25555" xr:uid="{00000000-0005-0000-0000-0000CF0A0000}"/>
    <cellStyle name="20% - Accent3 8 2 3 3" xfId="8564" xr:uid="{00000000-0005-0000-0000-0000D00A0000}"/>
    <cellStyle name="20% - Accent3 8 2 3 4" xfId="25554" xr:uid="{00000000-0005-0000-0000-0000D10A0000}"/>
    <cellStyle name="20% - Accent3 8 2 4" xfId="5647" xr:uid="{00000000-0005-0000-0000-0000D20A0000}"/>
    <cellStyle name="20% - Accent3 8 2 4 2" xfId="6059" xr:uid="{00000000-0005-0000-0000-0000D30A0000}"/>
    <cellStyle name="20% - Accent3 8 2 4 2 2" xfId="25557" xr:uid="{00000000-0005-0000-0000-0000D40A0000}"/>
    <cellStyle name="20% - Accent3 8 2 4 3" xfId="8565" xr:uid="{00000000-0005-0000-0000-0000D50A0000}"/>
    <cellStyle name="20% - Accent3 8 2 4 4" xfId="25556" xr:uid="{00000000-0005-0000-0000-0000D60A0000}"/>
    <cellStyle name="20% - Accent3 8 2 5" xfId="4334" xr:uid="{00000000-0005-0000-0000-0000D70A0000}"/>
    <cellStyle name="20% - Accent3 8 2 5 2" xfId="6060" xr:uid="{00000000-0005-0000-0000-0000D80A0000}"/>
    <cellStyle name="20% - Accent3 8 2 5 2 2" xfId="8567" xr:uid="{00000000-0005-0000-0000-0000D90A0000}"/>
    <cellStyle name="20% - Accent3 8 2 5 2 2 2" xfId="25560" xr:uid="{00000000-0005-0000-0000-0000DA0A0000}"/>
    <cellStyle name="20% - Accent3 8 2 5 2 3" xfId="25559" xr:uid="{00000000-0005-0000-0000-0000DB0A0000}"/>
    <cellStyle name="20% - Accent3 8 2 5 2 4" xfId="28366" xr:uid="{00000000-0005-0000-0000-0000DC0A0000}"/>
    <cellStyle name="20% - Accent3 8 2 5 3" xfId="8568" xr:uid="{00000000-0005-0000-0000-0000DD0A0000}"/>
    <cellStyle name="20% - Accent3 8 2 5 3 2" xfId="25561" xr:uid="{00000000-0005-0000-0000-0000DE0A0000}"/>
    <cellStyle name="20% - Accent3 8 2 5 3 3" xfId="28367" xr:uid="{00000000-0005-0000-0000-0000DF0A0000}"/>
    <cellStyle name="20% - Accent3 8 2 5 4" xfId="8566" xr:uid="{00000000-0005-0000-0000-0000E00A0000}"/>
    <cellStyle name="20% - Accent3 8 2 5 4 2" xfId="25562" xr:uid="{00000000-0005-0000-0000-0000E10A0000}"/>
    <cellStyle name="20% - Accent3 8 2 5 5" xfId="25558" xr:uid="{00000000-0005-0000-0000-0000E20A0000}"/>
    <cellStyle name="20% - Accent3 8 2 5 6" xfId="28365" xr:uid="{00000000-0005-0000-0000-0000E30A0000}"/>
    <cellStyle name="20% - Accent3 8 2 6" xfId="6053" xr:uid="{00000000-0005-0000-0000-0000E40A0000}"/>
    <cellStyle name="20% - Accent3 8 2 6 2" xfId="8569" xr:uid="{00000000-0005-0000-0000-0000E50A0000}"/>
    <cellStyle name="20% - Accent3 8 2 6 2 2" xfId="25564" xr:uid="{00000000-0005-0000-0000-0000E60A0000}"/>
    <cellStyle name="20% - Accent3 8 2 6 3" xfId="25563" xr:uid="{00000000-0005-0000-0000-0000E70A0000}"/>
    <cellStyle name="20% - Accent3 8 2 6 4" xfId="28368" xr:uid="{00000000-0005-0000-0000-0000E80A0000}"/>
    <cellStyle name="20% - Accent3 8 2 7" xfId="8570" xr:uid="{00000000-0005-0000-0000-0000E90A0000}"/>
    <cellStyle name="20% - Accent3 8 2 7 2" xfId="25565" xr:uid="{00000000-0005-0000-0000-0000EA0A0000}"/>
    <cellStyle name="20% - Accent3 8 2 7 3" xfId="28369" xr:uid="{00000000-0005-0000-0000-0000EB0A0000}"/>
    <cellStyle name="20% - Accent3 8 2 8" xfId="8561" xr:uid="{00000000-0005-0000-0000-0000EC0A0000}"/>
    <cellStyle name="20% - Accent3 8 2 8 2" xfId="25566" xr:uid="{00000000-0005-0000-0000-0000ED0A0000}"/>
    <cellStyle name="20% - Accent3 8 2 9" xfId="24908" xr:uid="{00000000-0005-0000-0000-0000EE0A0000}"/>
    <cellStyle name="20% - Accent3 8 3" xfId="3833" xr:uid="{00000000-0005-0000-0000-0000EF0A0000}"/>
    <cellStyle name="20% - Accent3 8 3 2" xfId="5339" xr:uid="{00000000-0005-0000-0000-0000F00A0000}"/>
    <cellStyle name="20% - Accent3 8 3 2 2" xfId="6062" xr:uid="{00000000-0005-0000-0000-0000F10A0000}"/>
    <cellStyle name="20% - Accent3 8 3 2 2 2" xfId="25569" xr:uid="{00000000-0005-0000-0000-0000F20A0000}"/>
    <cellStyle name="20% - Accent3 8 3 2 3" xfId="8572" xr:uid="{00000000-0005-0000-0000-0000F30A0000}"/>
    <cellStyle name="20% - Accent3 8 3 2 4" xfId="25568" xr:uid="{00000000-0005-0000-0000-0000F40A0000}"/>
    <cellStyle name="20% - Accent3 8 3 3" xfId="5649" xr:uid="{00000000-0005-0000-0000-0000F50A0000}"/>
    <cellStyle name="20% - Accent3 8 3 3 2" xfId="6063" xr:uid="{00000000-0005-0000-0000-0000F60A0000}"/>
    <cellStyle name="20% - Accent3 8 3 3 2 2" xfId="25571" xr:uid="{00000000-0005-0000-0000-0000F70A0000}"/>
    <cellStyle name="20% - Accent3 8 3 3 3" xfId="25570" xr:uid="{00000000-0005-0000-0000-0000F80A0000}"/>
    <cellStyle name="20% - Accent3 8 3 4" xfId="4336" xr:uid="{00000000-0005-0000-0000-0000F90A0000}"/>
    <cellStyle name="20% - Accent3 8 3 4 2" xfId="6064" xr:uid="{00000000-0005-0000-0000-0000FA0A0000}"/>
    <cellStyle name="20% - Accent3 8 3 4 2 2" xfId="25573" xr:uid="{00000000-0005-0000-0000-0000FB0A0000}"/>
    <cellStyle name="20% - Accent3 8 3 4 3" xfId="25572" xr:uid="{00000000-0005-0000-0000-0000FC0A0000}"/>
    <cellStyle name="20% - Accent3 8 3 5" xfId="6061" xr:uid="{00000000-0005-0000-0000-0000FD0A0000}"/>
    <cellStyle name="20% - Accent3 8 3 5 2" xfId="25574" xr:uid="{00000000-0005-0000-0000-0000FE0A0000}"/>
    <cellStyle name="20% - Accent3 8 3 6" xfId="8571" xr:uid="{00000000-0005-0000-0000-0000FF0A0000}"/>
    <cellStyle name="20% - Accent3 8 3 6 2" xfId="25575" xr:uid="{00000000-0005-0000-0000-0000000B0000}"/>
    <cellStyle name="20% - Accent3 8 3 7" xfId="24969" xr:uid="{00000000-0005-0000-0000-0000010B0000}"/>
    <cellStyle name="20% - Accent3 8 3 8" xfId="25567" xr:uid="{00000000-0005-0000-0000-0000020B0000}"/>
    <cellStyle name="20% - Accent3 8 3 9" xfId="28370" xr:uid="{00000000-0005-0000-0000-0000030B0000}"/>
    <cellStyle name="20% - Accent3 8 4" xfId="5336" xr:uid="{00000000-0005-0000-0000-0000040B0000}"/>
    <cellStyle name="20% - Accent3 8 4 2" xfId="6065" xr:uid="{00000000-0005-0000-0000-0000050B0000}"/>
    <cellStyle name="20% - Accent3 8 4 2 2" xfId="25577" xr:uid="{00000000-0005-0000-0000-0000060B0000}"/>
    <cellStyle name="20% - Accent3 8 4 3" xfId="8573" xr:uid="{00000000-0005-0000-0000-0000070B0000}"/>
    <cellStyle name="20% - Accent3 8 4 4" xfId="25576" xr:uid="{00000000-0005-0000-0000-0000080B0000}"/>
    <cellStyle name="20% - Accent3 8 5" xfId="5646" xr:uid="{00000000-0005-0000-0000-0000090B0000}"/>
    <cellStyle name="20% - Accent3 8 5 2" xfId="6066" xr:uid="{00000000-0005-0000-0000-00000A0B0000}"/>
    <cellStyle name="20% - Accent3 8 5 2 2" xfId="25579" xr:uid="{00000000-0005-0000-0000-00000B0B0000}"/>
    <cellStyle name="20% - Accent3 8 5 3" xfId="8574" xr:uid="{00000000-0005-0000-0000-00000C0B0000}"/>
    <cellStyle name="20% - Accent3 8 5 4" xfId="25578" xr:uid="{00000000-0005-0000-0000-00000D0B0000}"/>
    <cellStyle name="20% - Accent3 8 6" xfId="4333" xr:uid="{00000000-0005-0000-0000-00000E0B0000}"/>
    <cellStyle name="20% - Accent3 8 6 2" xfId="6067" xr:uid="{00000000-0005-0000-0000-00000F0B0000}"/>
    <cellStyle name="20% - Accent3 8 6 2 2" xfId="8576" xr:uid="{00000000-0005-0000-0000-0000100B0000}"/>
    <cellStyle name="20% - Accent3 8 6 2 2 2" xfId="25582" xr:uid="{00000000-0005-0000-0000-0000110B0000}"/>
    <cellStyle name="20% - Accent3 8 6 2 3" xfId="25581" xr:uid="{00000000-0005-0000-0000-0000120B0000}"/>
    <cellStyle name="20% - Accent3 8 6 2 4" xfId="28372" xr:uid="{00000000-0005-0000-0000-0000130B0000}"/>
    <cellStyle name="20% - Accent3 8 6 3" xfId="8577" xr:uid="{00000000-0005-0000-0000-0000140B0000}"/>
    <cellStyle name="20% - Accent3 8 6 3 2" xfId="25583" xr:uid="{00000000-0005-0000-0000-0000150B0000}"/>
    <cellStyle name="20% - Accent3 8 6 3 3" xfId="28373" xr:uid="{00000000-0005-0000-0000-0000160B0000}"/>
    <cellStyle name="20% - Accent3 8 6 4" xfId="8575" xr:uid="{00000000-0005-0000-0000-0000170B0000}"/>
    <cellStyle name="20% - Accent3 8 6 4 2" xfId="25584" xr:uid="{00000000-0005-0000-0000-0000180B0000}"/>
    <cellStyle name="20% - Accent3 8 6 5" xfId="25580" xr:uid="{00000000-0005-0000-0000-0000190B0000}"/>
    <cellStyle name="20% - Accent3 8 6 6" xfId="28371" xr:uid="{00000000-0005-0000-0000-00001A0B0000}"/>
    <cellStyle name="20% - Accent3 8 7" xfId="6052" xr:uid="{00000000-0005-0000-0000-00001B0B0000}"/>
    <cellStyle name="20% - Accent3 8 7 2" xfId="8578" xr:uid="{00000000-0005-0000-0000-00001C0B0000}"/>
    <cellStyle name="20% - Accent3 8 7 2 2" xfId="25586" xr:uid="{00000000-0005-0000-0000-00001D0B0000}"/>
    <cellStyle name="20% - Accent3 8 7 3" xfId="25585" xr:uid="{00000000-0005-0000-0000-00001E0B0000}"/>
    <cellStyle name="20% - Accent3 8 7 4" xfId="28374" xr:uid="{00000000-0005-0000-0000-00001F0B0000}"/>
    <cellStyle name="20% - Accent3 8 8" xfId="8579" xr:uid="{00000000-0005-0000-0000-0000200B0000}"/>
    <cellStyle name="20% - Accent3 8 8 2" xfId="25587" xr:uid="{00000000-0005-0000-0000-0000210B0000}"/>
    <cellStyle name="20% - Accent3 8 8 3" xfId="28375" xr:uid="{00000000-0005-0000-0000-0000220B0000}"/>
    <cellStyle name="20% - Accent3 8 9" xfId="8560" xr:uid="{00000000-0005-0000-0000-0000230B0000}"/>
    <cellStyle name="20% - Accent3 8 9 2" xfId="25588" xr:uid="{00000000-0005-0000-0000-0000240B0000}"/>
    <cellStyle name="20% - Accent3 9" xfId="527" xr:uid="{00000000-0005-0000-0000-0000250B0000}"/>
    <cellStyle name="20% - Accent3 9 2" xfId="4337" xr:uid="{00000000-0005-0000-0000-0000260B0000}"/>
    <cellStyle name="20% - Accent3 9 2 2" xfId="8581" xr:uid="{00000000-0005-0000-0000-0000270B0000}"/>
    <cellStyle name="20% - Accent3 9 2 3" xfId="8582" xr:uid="{00000000-0005-0000-0000-0000280B0000}"/>
    <cellStyle name="20% - Accent3 9 2 4" xfId="8580" xr:uid="{00000000-0005-0000-0000-0000290B0000}"/>
    <cellStyle name="20% - Accent3 9 3" xfId="8583" xr:uid="{00000000-0005-0000-0000-00002A0B0000}"/>
    <cellStyle name="20% - Accent3 9 4" xfId="8584" xr:uid="{00000000-0005-0000-0000-00002B0B0000}"/>
    <cellStyle name="20% - Accent3 9 5" xfId="8585" xr:uid="{00000000-0005-0000-0000-00002C0B0000}"/>
    <cellStyle name="20% - Accent3 9 6" xfId="8586" xr:uid="{00000000-0005-0000-0000-00002D0B0000}"/>
    <cellStyle name="20% - Accent4" xfId="7110" builtinId="42" customBuiltin="1"/>
    <cellStyle name="20% - Accent4 10" xfId="652" xr:uid="{00000000-0005-0000-0000-00002F0B0000}"/>
    <cellStyle name="20% - Accent4 10 2" xfId="4338" xr:uid="{00000000-0005-0000-0000-0000300B0000}"/>
    <cellStyle name="20% - Accent4 10 2 2" xfId="8587" xr:uid="{00000000-0005-0000-0000-0000310B0000}"/>
    <cellStyle name="20% - Accent4 10 3" xfId="8588" xr:uid="{00000000-0005-0000-0000-0000320B0000}"/>
    <cellStyle name="20% - Accent4 10 4" xfId="8589" xr:uid="{00000000-0005-0000-0000-0000330B0000}"/>
    <cellStyle name="20% - Accent4 10 5" xfId="8590" xr:uid="{00000000-0005-0000-0000-0000340B0000}"/>
    <cellStyle name="20% - Accent4 11" xfId="653" xr:uid="{00000000-0005-0000-0000-0000350B0000}"/>
    <cellStyle name="20% - Accent4 11 2" xfId="4339" xr:uid="{00000000-0005-0000-0000-0000360B0000}"/>
    <cellStyle name="20% - Accent4 11 2 2" xfId="8591" xr:uid="{00000000-0005-0000-0000-0000370B0000}"/>
    <cellStyle name="20% - Accent4 11 3" xfId="8592" xr:uid="{00000000-0005-0000-0000-0000380B0000}"/>
    <cellStyle name="20% - Accent4 11 4" xfId="8593" xr:uid="{00000000-0005-0000-0000-0000390B0000}"/>
    <cellStyle name="20% - Accent4 11 5" xfId="8594" xr:uid="{00000000-0005-0000-0000-00003A0B0000}"/>
    <cellStyle name="20% - Accent4 12" xfId="807" xr:uid="{00000000-0005-0000-0000-00003B0B0000}"/>
    <cellStyle name="20% - Accent4 12 2" xfId="8596" xr:uid="{00000000-0005-0000-0000-00003C0B0000}"/>
    <cellStyle name="20% - Accent4 12 3" xfId="8597" xr:uid="{00000000-0005-0000-0000-00003D0B0000}"/>
    <cellStyle name="20% - Accent4 12 4" xfId="8595" xr:uid="{00000000-0005-0000-0000-00003E0B0000}"/>
    <cellStyle name="20% - Accent4 13" xfId="808" xr:uid="{00000000-0005-0000-0000-00003F0B0000}"/>
    <cellStyle name="20% - Accent4 13 2" xfId="3848" xr:uid="{00000000-0005-0000-0000-0000400B0000}"/>
    <cellStyle name="20% - Accent4 13 2 2" xfId="6069" xr:uid="{00000000-0005-0000-0000-0000410B0000}"/>
    <cellStyle name="20% - Accent4 13 2 2 2" xfId="25591" xr:uid="{00000000-0005-0000-0000-0000420B0000}"/>
    <cellStyle name="20% - Accent4 13 2 3" xfId="8599" xr:uid="{00000000-0005-0000-0000-0000430B0000}"/>
    <cellStyle name="20% - Accent4 13 2 4" xfId="24984" xr:uid="{00000000-0005-0000-0000-0000440B0000}"/>
    <cellStyle name="20% - Accent4 13 2 5" xfId="25590" xr:uid="{00000000-0005-0000-0000-0000450B0000}"/>
    <cellStyle name="20% - Accent4 13 3" xfId="6068" xr:uid="{00000000-0005-0000-0000-0000460B0000}"/>
    <cellStyle name="20% - Accent4 13 3 2" xfId="8600" xr:uid="{00000000-0005-0000-0000-0000470B0000}"/>
    <cellStyle name="20% - Accent4 13 3 3" xfId="25592" xr:uid="{00000000-0005-0000-0000-0000480B0000}"/>
    <cellStyle name="20% - Accent4 13 4" xfId="8598" xr:uid="{00000000-0005-0000-0000-0000490B0000}"/>
    <cellStyle name="20% - Accent4 13 5" xfId="24863" xr:uid="{00000000-0005-0000-0000-00004A0B0000}"/>
    <cellStyle name="20% - Accent4 13 6" xfId="25589" xr:uid="{00000000-0005-0000-0000-00004B0B0000}"/>
    <cellStyle name="20% - Accent4 14" xfId="927" xr:uid="{00000000-0005-0000-0000-00004C0B0000}"/>
    <cellStyle name="20% - Accent4 14 2" xfId="8602" xr:uid="{00000000-0005-0000-0000-00004D0B0000}"/>
    <cellStyle name="20% - Accent4 14 3" xfId="8603" xr:uid="{00000000-0005-0000-0000-00004E0B0000}"/>
    <cellStyle name="20% - Accent4 14 4" xfId="8601" xr:uid="{00000000-0005-0000-0000-00004F0B0000}"/>
    <cellStyle name="20% - Accent4 15" xfId="8604" xr:uid="{00000000-0005-0000-0000-0000500B0000}"/>
    <cellStyle name="20% - Accent4 15 2" xfId="8605" xr:uid="{00000000-0005-0000-0000-0000510B0000}"/>
    <cellStyle name="20% - Accent4 15 3" xfId="8606" xr:uid="{00000000-0005-0000-0000-0000520B0000}"/>
    <cellStyle name="20% - Accent4 16" xfId="8607" xr:uid="{00000000-0005-0000-0000-0000530B0000}"/>
    <cellStyle name="20% - Accent4 16 2" xfId="8608" xr:uid="{00000000-0005-0000-0000-0000540B0000}"/>
    <cellStyle name="20% - Accent4 16 3" xfId="8609" xr:uid="{00000000-0005-0000-0000-0000550B0000}"/>
    <cellStyle name="20% - Accent4 17" xfId="8610" xr:uid="{00000000-0005-0000-0000-0000560B0000}"/>
    <cellStyle name="20% - Accent4 17 2" xfId="8611" xr:uid="{00000000-0005-0000-0000-0000570B0000}"/>
    <cellStyle name="20% - Accent4 17 3" xfId="8612" xr:uid="{00000000-0005-0000-0000-0000580B0000}"/>
    <cellStyle name="20% - Accent4 18" xfId="8613" xr:uid="{00000000-0005-0000-0000-0000590B0000}"/>
    <cellStyle name="20% - Accent4 18 2" xfId="8614" xr:uid="{00000000-0005-0000-0000-00005A0B0000}"/>
    <cellStyle name="20% - Accent4 18 3" xfId="8615" xr:uid="{00000000-0005-0000-0000-00005B0B0000}"/>
    <cellStyle name="20% - Accent4 19" xfId="8616" xr:uid="{00000000-0005-0000-0000-00005C0B0000}"/>
    <cellStyle name="20% - Accent4 19 2" xfId="8617" xr:uid="{00000000-0005-0000-0000-00005D0B0000}"/>
    <cellStyle name="20% - Accent4 2" xfId="71" xr:uid="{00000000-0005-0000-0000-00005E0B0000}"/>
    <cellStyle name="20% - Accent4 2 10" xfId="1670" xr:uid="{00000000-0005-0000-0000-00005F0B0000}"/>
    <cellStyle name="20% - Accent4 2 10 2" xfId="4340" xr:uid="{00000000-0005-0000-0000-0000600B0000}"/>
    <cellStyle name="20% - Accent4 2 10 2 2" xfId="8618" xr:uid="{00000000-0005-0000-0000-0000610B0000}"/>
    <cellStyle name="20% - Accent4 2 10 3" xfId="8619" xr:uid="{00000000-0005-0000-0000-0000620B0000}"/>
    <cellStyle name="20% - Accent4 2 10 4" xfId="8620" xr:uid="{00000000-0005-0000-0000-0000630B0000}"/>
    <cellStyle name="20% - Accent4 2 10 5" xfId="8621" xr:uid="{00000000-0005-0000-0000-0000640B0000}"/>
    <cellStyle name="20% - Accent4 2 11" xfId="1967" xr:uid="{00000000-0005-0000-0000-0000650B0000}"/>
    <cellStyle name="20% - Accent4 2 11 2" xfId="4341" xr:uid="{00000000-0005-0000-0000-0000660B0000}"/>
    <cellStyle name="20% - Accent4 2 11 2 2" xfId="8622" xr:uid="{00000000-0005-0000-0000-0000670B0000}"/>
    <cellStyle name="20% - Accent4 2 11 3" xfId="8623" xr:uid="{00000000-0005-0000-0000-0000680B0000}"/>
    <cellStyle name="20% - Accent4 2 11 4" xfId="8624" xr:uid="{00000000-0005-0000-0000-0000690B0000}"/>
    <cellStyle name="20% - Accent4 2 11 5" xfId="8625" xr:uid="{00000000-0005-0000-0000-00006A0B0000}"/>
    <cellStyle name="20% - Accent4 2 12" xfId="1707" xr:uid="{00000000-0005-0000-0000-00006B0B0000}"/>
    <cellStyle name="20% - Accent4 2 12 2" xfId="4342" xr:uid="{00000000-0005-0000-0000-00006C0B0000}"/>
    <cellStyle name="20% - Accent4 2 12 2 2" xfId="8626" xr:uid="{00000000-0005-0000-0000-00006D0B0000}"/>
    <cellStyle name="20% - Accent4 2 12 3" xfId="8627" xr:uid="{00000000-0005-0000-0000-00006E0B0000}"/>
    <cellStyle name="20% - Accent4 2 12 4" xfId="8628" xr:uid="{00000000-0005-0000-0000-00006F0B0000}"/>
    <cellStyle name="20% - Accent4 2 12 5" xfId="8629" xr:uid="{00000000-0005-0000-0000-0000700B0000}"/>
    <cellStyle name="20% - Accent4 2 13" xfId="2042" xr:uid="{00000000-0005-0000-0000-0000710B0000}"/>
    <cellStyle name="20% - Accent4 2 13 2" xfId="4343" xr:uid="{00000000-0005-0000-0000-0000720B0000}"/>
    <cellStyle name="20% - Accent4 2 13 2 2" xfId="8630" xr:uid="{00000000-0005-0000-0000-0000730B0000}"/>
    <cellStyle name="20% - Accent4 2 13 3" xfId="8631" xr:uid="{00000000-0005-0000-0000-0000740B0000}"/>
    <cellStyle name="20% - Accent4 2 13 4" xfId="8632" xr:uid="{00000000-0005-0000-0000-0000750B0000}"/>
    <cellStyle name="20% - Accent4 2 13 5" xfId="8633" xr:uid="{00000000-0005-0000-0000-0000760B0000}"/>
    <cellStyle name="20% - Accent4 2 14" xfId="3088" xr:uid="{00000000-0005-0000-0000-0000770B0000}"/>
    <cellStyle name="20% - Accent4 2 14 2" xfId="4344" xr:uid="{00000000-0005-0000-0000-0000780B0000}"/>
    <cellStyle name="20% - Accent4 2 14 2 2" xfId="8634" xr:uid="{00000000-0005-0000-0000-0000790B0000}"/>
    <cellStyle name="20% - Accent4 2 14 3" xfId="8635" xr:uid="{00000000-0005-0000-0000-00007A0B0000}"/>
    <cellStyle name="20% - Accent4 2 14 4" xfId="8636" xr:uid="{00000000-0005-0000-0000-00007B0B0000}"/>
    <cellStyle name="20% - Accent4 2 14 5" xfId="8637" xr:uid="{00000000-0005-0000-0000-00007C0B0000}"/>
    <cellStyle name="20% - Accent4 2 15" xfId="3459" xr:uid="{00000000-0005-0000-0000-00007D0B0000}"/>
    <cellStyle name="20% - Accent4 2 15 2" xfId="4345" xr:uid="{00000000-0005-0000-0000-00007E0B0000}"/>
    <cellStyle name="20% - Accent4 2 15 2 2" xfId="8638" xr:uid="{00000000-0005-0000-0000-00007F0B0000}"/>
    <cellStyle name="20% - Accent4 2 15 3" xfId="8639" xr:uid="{00000000-0005-0000-0000-0000800B0000}"/>
    <cellStyle name="20% - Accent4 2 16" xfId="3635" xr:uid="{00000000-0005-0000-0000-0000810B0000}"/>
    <cellStyle name="20% - Accent4 2 16 2" xfId="4346" xr:uid="{00000000-0005-0000-0000-0000820B0000}"/>
    <cellStyle name="20% - Accent4 2 16 2 2" xfId="8640" xr:uid="{00000000-0005-0000-0000-0000830B0000}"/>
    <cellStyle name="20% - Accent4 2 16 3" xfId="8641" xr:uid="{00000000-0005-0000-0000-0000840B0000}"/>
    <cellStyle name="20% - Accent4 2 17" xfId="24470" xr:uid="{00000000-0005-0000-0000-0000850B0000}"/>
    <cellStyle name="20% - Accent4 2 2" xfId="115" xr:uid="{00000000-0005-0000-0000-0000860B0000}"/>
    <cellStyle name="20% - Accent4 2 2 10" xfId="8642" xr:uid="{00000000-0005-0000-0000-0000870B0000}"/>
    <cellStyle name="20% - Accent4 2 2 10 2" xfId="8643" xr:uid="{00000000-0005-0000-0000-0000880B0000}"/>
    <cellStyle name="20% - Accent4 2 2 10 3" xfId="8644" xr:uid="{00000000-0005-0000-0000-0000890B0000}"/>
    <cellStyle name="20% - Accent4 2 2 11" xfId="8645" xr:uid="{00000000-0005-0000-0000-00008A0B0000}"/>
    <cellStyle name="20% - Accent4 2 2 11 2" xfId="8646" xr:uid="{00000000-0005-0000-0000-00008B0B0000}"/>
    <cellStyle name="20% - Accent4 2 2 11 3" xfId="8647" xr:uid="{00000000-0005-0000-0000-00008C0B0000}"/>
    <cellStyle name="20% - Accent4 2 2 12" xfId="8648" xr:uid="{00000000-0005-0000-0000-00008D0B0000}"/>
    <cellStyle name="20% - Accent4 2 2 12 2" xfId="8649" xr:uid="{00000000-0005-0000-0000-00008E0B0000}"/>
    <cellStyle name="20% - Accent4 2 2 12 3" xfId="8650" xr:uid="{00000000-0005-0000-0000-00008F0B0000}"/>
    <cellStyle name="20% - Accent4 2 2 13" xfId="8651" xr:uid="{00000000-0005-0000-0000-0000900B0000}"/>
    <cellStyle name="20% - Accent4 2 2 14" xfId="8652" xr:uid="{00000000-0005-0000-0000-0000910B0000}"/>
    <cellStyle name="20% - Accent4 2 2 15" xfId="8653" xr:uid="{00000000-0005-0000-0000-0000920B0000}"/>
    <cellStyle name="20% - Accent4 2 2 2" xfId="183" xr:uid="{00000000-0005-0000-0000-0000930B0000}"/>
    <cellStyle name="20% - Accent4 2 2 2 2" xfId="8654" xr:uid="{00000000-0005-0000-0000-0000940B0000}"/>
    <cellStyle name="20% - Accent4 2 2 2 3" xfId="8655" xr:uid="{00000000-0005-0000-0000-0000950B0000}"/>
    <cellStyle name="20% - Accent4 2 2 3" xfId="347" xr:uid="{00000000-0005-0000-0000-0000960B0000}"/>
    <cellStyle name="20% - Accent4 2 2 3 2" xfId="8656" xr:uid="{00000000-0005-0000-0000-0000970B0000}"/>
    <cellStyle name="20% - Accent4 2 2 3 3" xfId="8657" xr:uid="{00000000-0005-0000-0000-0000980B0000}"/>
    <cellStyle name="20% - Accent4 2 2 4" xfId="2169" xr:uid="{00000000-0005-0000-0000-0000990B0000}"/>
    <cellStyle name="20% - Accent4 2 2 4 2" xfId="8658" xr:uid="{00000000-0005-0000-0000-00009A0B0000}"/>
    <cellStyle name="20% - Accent4 2 2 4 3" xfId="8659" xr:uid="{00000000-0005-0000-0000-00009B0B0000}"/>
    <cellStyle name="20% - Accent4 2 2 5" xfId="2543" xr:uid="{00000000-0005-0000-0000-00009C0B0000}"/>
    <cellStyle name="20% - Accent4 2 2 5 2" xfId="8660" xr:uid="{00000000-0005-0000-0000-00009D0B0000}"/>
    <cellStyle name="20% - Accent4 2 2 5 3" xfId="8661" xr:uid="{00000000-0005-0000-0000-00009E0B0000}"/>
    <cellStyle name="20% - Accent4 2 2 6" xfId="2915" xr:uid="{00000000-0005-0000-0000-00009F0B0000}"/>
    <cellStyle name="20% - Accent4 2 2 6 2" xfId="8662" xr:uid="{00000000-0005-0000-0000-0000A00B0000}"/>
    <cellStyle name="20% - Accent4 2 2 6 3" xfId="8663" xr:uid="{00000000-0005-0000-0000-0000A10B0000}"/>
    <cellStyle name="20% - Accent4 2 2 7" xfId="3287" xr:uid="{00000000-0005-0000-0000-0000A20B0000}"/>
    <cellStyle name="20% - Accent4 2 2 7 2" xfId="8664" xr:uid="{00000000-0005-0000-0000-0000A30B0000}"/>
    <cellStyle name="20% - Accent4 2 2 7 3" xfId="8665" xr:uid="{00000000-0005-0000-0000-0000A40B0000}"/>
    <cellStyle name="20% - Accent4 2 2 8" xfId="4347" xr:uid="{00000000-0005-0000-0000-0000A50B0000}"/>
    <cellStyle name="20% - Accent4 2 2 8 2" xfId="8667" xr:uid="{00000000-0005-0000-0000-0000A60B0000}"/>
    <cellStyle name="20% - Accent4 2 2 8 3" xfId="8668" xr:uid="{00000000-0005-0000-0000-0000A70B0000}"/>
    <cellStyle name="20% - Accent4 2 2 8 4" xfId="8666" xr:uid="{00000000-0005-0000-0000-0000A80B0000}"/>
    <cellStyle name="20% - Accent4 2 2 9" xfId="8669" xr:uid="{00000000-0005-0000-0000-0000A90B0000}"/>
    <cellStyle name="20% - Accent4 2 2 9 2" xfId="8670" xr:uid="{00000000-0005-0000-0000-0000AA0B0000}"/>
    <cellStyle name="20% - Accent4 2 2 9 3" xfId="8671" xr:uid="{00000000-0005-0000-0000-0000AB0B0000}"/>
    <cellStyle name="20% - Accent4 2 3" xfId="280" xr:uid="{00000000-0005-0000-0000-0000AC0B0000}"/>
    <cellStyle name="20% - Accent4 2 3 2" xfId="1345" xr:uid="{00000000-0005-0000-0000-0000AD0B0000}"/>
    <cellStyle name="20% - Accent4 2 3 2 2" xfId="8672" xr:uid="{00000000-0005-0000-0000-0000AE0B0000}"/>
    <cellStyle name="20% - Accent4 2 3 2 3" xfId="8673" xr:uid="{00000000-0005-0000-0000-0000AF0B0000}"/>
    <cellStyle name="20% - Accent4 2 3 3" xfId="8674" xr:uid="{00000000-0005-0000-0000-0000B00B0000}"/>
    <cellStyle name="20% - Accent4 2 3 4" xfId="8675" xr:uid="{00000000-0005-0000-0000-0000B10B0000}"/>
    <cellStyle name="20% - Accent4 2 4" xfId="370" xr:uid="{00000000-0005-0000-0000-0000B20B0000}"/>
    <cellStyle name="20% - Accent4 2 4 2" xfId="8676" xr:uid="{00000000-0005-0000-0000-0000B30B0000}"/>
    <cellStyle name="20% - Accent4 2 4 2 2" xfId="8677" xr:uid="{00000000-0005-0000-0000-0000B40B0000}"/>
    <cellStyle name="20% - Accent4 2 4 2 3" xfId="8678" xr:uid="{00000000-0005-0000-0000-0000B50B0000}"/>
    <cellStyle name="20% - Accent4 2 4 3" xfId="8679" xr:uid="{00000000-0005-0000-0000-0000B60B0000}"/>
    <cellStyle name="20% - Accent4 2 4 4" xfId="8680" xr:uid="{00000000-0005-0000-0000-0000B70B0000}"/>
    <cellStyle name="20% - Accent4 2 5" xfId="528" xr:uid="{00000000-0005-0000-0000-0000B80B0000}"/>
    <cellStyle name="20% - Accent4 2 5 2" xfId="8681" xr:uid="{00000000-0005-0000-0000-0000B90B0000}"/>
    <cellStyle name="20% - Accent4 2 5 3" xfId="8682" xr:uid="{00000000-0005-0000-0000-0000BA0B0000}"/>
    <cellStyle name="20% - Accent4 2 6" xfId="654" xr:uid="{00000000-0005-0000-0000-0000BB0B0000}"/>
    <cellStyle name="20% - Accent4 2 6 2" xfId="8683" xr:uid="{00000000-0005-0000-0000-0000BC0B0000}"/>
    <cellStyle name="20% - Accent4 2 6 3" xfId="8684" xr:uid="{00000000-0005-0000-0000-0000BD0B0000}"/>
    <cellStyle name="20% - Accent4 2 7" xfId="655" xr:uid="{00000000-0005-0000-0000-0000BE0B0000}"/>
    <cellStyle name="20% - Accent4 2 7 2" xfId="8685" xr:uid="{00000000-0005-0000-0000-0000BF0B0000}"/>
    <cellStyle name="20% - Accent4 2 7 3" xfId="8686" xr:uid="{00000000-0005-0000-0000-0000C00B0000}"/>
    <cellStyle name="20% - Accent4 2 8" xfId="809" xr:uid="{00000000-0005-0000-0000-0000C10B0000}"/>
    <cellStyle name="20% - Accent4 2 8 2" xfId="1399" xr:uid="{00000000-0005-0000-0000-0000C20B0000}"/>
    <cellStyle name="20% - Accent4 2 8 2 2" xfId="8687" xr:uid="{00000000-0005-0000-0000-0000C30B0000}"/>
    <cellStyle name="20% - Accent4 2 8 3" xfId="8688" xr:uid="{00000000-0005-0000-0000-0000C40B0000}"/>
    <cellStyle name="20% - Accent4 2 8 4" xfId="8689" xr:uid="{00000000-0005-0000-0000-0000C50B0000}"/>
    <cellStyle name="20% - Accent4 2 8 5" xfId="8690" xr:uid="{00000000-0005-0000-0000-0000C60B0000}"/>
    <cellStyle name="20% - Accent4 2 9" xfId="928" xr:uid="{00000000-0005-0000-0000-0000C70B0000}"/>
    <cellStyle name="20% - Accent4 2 9 2" xfId="1446" xr:uid="{00000000-0005-0000-0000-0000C80B0000}"/>
    <cellStyle name="20% - Accent4 2 9 2 2" xfId="8691" xr:uid="{00000000-0005-0000-0000-0000C90B0000}"/>
    <cellStyle name="20% - Accent4 2 9 3" xfId="8692" xr:uid="{00000000-0005-0000-0000-0000CA0B0000}"/>
    <cellStyle name="20% - Accent4 2 9 4" xfId="8693" xr:uid="{00000000-0005-0000-0000-0000CB0B0000}"/>
    <cellStyle name="20% - Accent4 2 9 5" xfId="8694" xr:uid="{00000000-0005-0000-0000-0000CC0B0000}"/>
    <cellStyle name="20% - Accent4 20" xfId="8695" xr:uid="{00000000-0005-0000-0000-0000CD0B0000}"/>
    <cellStyle name="20% - Accent4 21" xfId="8696" xr:uid="{00000000-0005-0000-0000-0000CE0B0000}"/>
    <cellStyle name="20% - Accent4 21 2" xfId="8697" xr:uid="{00000000-0005-0000-0000-0000CF0B0000}"/>
    <cellStyle name="20% - Accent4 21 2 2" xfId="8698" xr:uid="{00000000-0005-0000-0000-0000D00B0000}"/>
    <cellStyle name="20% - Accent4 21 2 2 2" xfId="25595" xr:uid="{00000000-0005-0000-0000-0000D10B0000}"/>
    <cellStyle name="20% - Accent4 21 2 2 3" xfId="28378" xr:uid="{00000000-0005-0000-0000-0000D20B0000}"/>
    <cellStyle name="20% - Accent4 21 2 3" xfId="8699" xr:uid="{00000000-0005-0000-0000-0000D30B0000}"/>
    <cellStyle name="20% - Accent4 21 2 3 2" xfId="25596" xr:uid="{00000000-0005-0000-0000-0000D40B0000}"/>
    <cellStyle name="20% - Accent4 21 2 3 3" xfId="28379" xr:uid="{00000000-0005-0000-0000-0000D50B0000}"/>
    <cellStyle name="20% - Accent4 21 2 4" xfId="25594" xr:uid="{00000000-0005-0000-0000-0000D60B0000}"/>
    <cellStyle name="20% - Accent4 21 2 5" xfId="28377" xr:uid="{00000000-0005-0000-0000-0000D70B0000}"/>
    <cellStyle name="20% - Accent4 21 3" xfId="8700" xr:uid="{00000000-0005-0000-0000-0000D80B0000}"/>
    <cellStyle name="20% - Accent4 21 3 2" xfId="25597" xr:uid="{00000000-0005-0000-0000-0000D90B0000}"/>
    <cellStyle name="20% - Accent4 21 3 3" xfId="28380" xr:uid="{00000000-0005-0000-0000-0000DA0B0000}"/>
    <cellStyle name="20% - Accent4 21 4" xfId="8701" xr:uid="{00000000-0005-0000-0000-0000DB0B0000}"/>
    <cellStyle name="20% - Accent4 21 4 2" xfId="25598" xr:uid="{00000000-0005-0000-0000-0000DC0B0000}"/>
    <cellStyle name="20% - Accent4 21 4 3" xfId="28381" xr:uid="{00000000-0005-0000-0000-0000DD0B0000}"/>
    <cellStyle name="20% - Accent4 21 5" xfId="25593" xr:uid="{00000000-0005-0000-0000-0000DE0B0000}"/>
    <cellStyle name="20% - Accent4 21 6" xfId="28376" xr:uid="{00000000-0005-0000-0000-0000DF0B0000}"/>
    <cellStyle name="20% - Accent4 22" xfId="8702" xr:uid="{00000000-0005-0000-0000-0000E00B0000}"/>
    <cellStyle name="20% - Accent4 22 2" xfId="8703" xr:uid="{00000000-0005-0000-0000-0000E10B0000}"/>
    <cellStyle name="20% - Accent4 22 2 2" xfId="8704" xr:uid="{00000000-0005-0000-0000-0000E20B0000}"/>
    <cellStyle name="20% - Accent4 22 2 2 2" xfId="25601" xr:uid="{00000000-0005-0000-0000-0000E30B0000}"/>
    <cellStyle name="20% - Accent4 22 2 2 3" xfId="28384" xr:uid="{00000000-0005-0000-0000-0000E40B0000}"/>
    <cellStyle name="20% - Accent4 22 2 3" xfId="8705" xr:uid="{00000000-0005-0000-0000-0000E50B0000}"/>
    <cellStyle name="20% - Accent4 22 2 3 2" xfId="25602" xr:uid="{00000000-0005-0000-0000-0000E60B0000}"/>
    <cellStyle name="20% - Accent4 22 2 3 3" xfId="28385" xr:uid="{00000000-0005-0000-0000-0000E70B0000}"/>
    <cellStyle name="20% - Accent4 22 2 4" xfId="25600" xr:uid="{00000000-0005-0000-0000-0000E80B0000}"/>
    <cellStyle name="20% - Accent4 22 2 5" xfId="28383" xr:uid="{00000000-0005-0000-0000-0000E90B0000}"/>
    <cellStyle name="20% - Accent4 22 3" xfId="8706" xr:uid="{00000000-0005-0000-0000-0000EA0B0000}"/>
    <cellStyle name="20% - Accent4 22 3 2" xfId="25603" xr:uid="{00000000-0005-0000-0000-0000EB0B0000}"/>
    <cellStyle name="20% - Accent4 22 3 3" xfId="28386" xr:uid="{00000000-0005-0000-0000-0000EC0B0000}"/>
    <cellStyle name="20% - Accent4 22 4" xfId="8707" xr:uid="{00000000-0005-0000-0000-0000ED0B0000}"/>
    <cellStyle name="20% - Accent4 22 4 2" xfId="25604" xr:uid="{00000000-0005-0000-0000-0000EE0B0000}"/>
    <cellStyle name="20% - Accent4 22 4 3" xfId="28387" xr:uid="{00000000-0005-0000-0000-0000EF0B0000}"/>
    <cellStyle name="20% - Accent4 22 5" xfId="25599" xr:uid="{00000000-0005-0000-0000-0000F00B0000}"/>
    <cellStyle name="20% - Accent4 22 6" xfId="28382" xr:uid="{00000000-0005-0000-0000-0000F10B0000}"/>
    <cellStyle name="20% - Accent4 23" xfId="8708" xr:uid="{00000000-0005-0000-0000-0000F20B0000}"/>
    <cellStyle name="20% - Accent4 24" xfId="8709" xr:uid="{00000000-0005-0000-0000-0000F30B0000}"/>
    <cellStyle name="20% - Accent4 24 2" xfId="8710" xr:uid="{00000000-0005-0000-0000-0000F40B0000}"/>
    <cellStyle name="20% - Accent4 24 2 2" xfId="8711" xr:uid="{00000000-0005-0000-0000-0000F50B0000}"/>
    <cellStyle name="20% - Accent4 24 2 2 2" xfId="25607" xr:uid="{00000000-0005-0000-0000-0000F60B0000}"/>
    <cellStyle name="20% - Accent4 24 2 2 3" xfId="28390" xr:uid="{00000000-0005-0000-0000-0000F70B0000}"/>
    <cellStyle name="20% - Accent4 24 2 3" xfId="8712" xr:uid="{00000000-0005-0000-0000-0000F80B0000}"/>
    <cellStyle name="20% - Accent4 24 2 3 2" xfId="25608" xr:uid="{00000000-0005-0000-0000-0000F90B0000}"/>
    <cellStyle name="20% - Accent4 24 2 3 3" xfId="28391" xr:uid="{00000000-0005-0000-0000-0000FA0B0000}"/>
    <cellStyle name="20% - Accent4 24 2 4" xfId="25606" xr:uid="{00000000-0005-0000-0000-0000FB0B0000}"/>
    <cellStyle name="20% - Accent4 24 2 5" xfId="28389" xr:uid="{00000000-0005-0000-0000-0000FC0B0000}"/>
    <cellStyle name="20% - Accent4 24 3" xfId="8713" xr:uid="{00000000-0005-0000-0000-0000FD0B0000}"/>
    <cellStyle name="20% - Accent4 24 3 2" xfId="25609" xr:uid="{00000000-0005-0000-0000-0000FE0B0000}"/>
    <cellStyle name="20% - Accent4 24 3 3" xfId="28392" xr:uid="{00000000-0005-0000-0000-0000FF0B0000}"/>
    <cellStyle name="20% - Accent4 24 4" xfId="8714" xr:uid="{00000000-0005-0000-0000-0000000C0000}"/>
    <cellStyle name="20% - Accent4 24 4 2" xfId="25610" xr:uid="{00000000-0005-0000-0000-0000010C0000}"/>
    <cellStyle name="20% - Accent4 24 4 3" xfId="28393" xr:uid="{00000000-0005-0000-0000-0000020C0000}"/>
    <cellStyle name="20% - Accent4 24 5" xfId="25605" xr:uid="{00000000-0005-0000-0000-0000030C0000}"/>
    <cellStyle name="20% - Accent4 24 6" xfId="28388" xr:uid="{00000000-0005-0000-0000-0000040C0000}"/>
    <cellStyle name="20% - Accent4 25" xfId="8715" xr:uid="{00000000-0005-0000-0000-0000050C0000}"/>
    <cellStyle name="20% - Accent4 25 2" xfId="8716" xr:uid="{00000000-0005-0000-0000-0000060C0000}"/>
    <cellStyle name="20% - Accent4 25 2 2" xfId="8717" xr:uid="{00000000-0005-0000-0000-0000070C0000}"/>
    <cellStyle name="20% - Accent4 25 2 2 2" xfId="25613" xr:uid="{00000000-0005-0000-0000-0000080C0000}"/>
    <cellStyle name="20% - Accent4 25 2 2 3" xfId="28396" xr:uid="{00000000-0005-0000-0000-0000090C0000}"/>
    <cellStyle name="20% - Accent4 25 2 3" xfId="8718" xr:uid="{00000000-0005-0000-0000-00000A0C0000}"/>
    <cellStyle name="20% - Accent4 25 2 3 2" xfId="25614" xr:uid="{00000000-0005-0000-0000-00000B0C0000}"/>
    <cellStyle name="20% - Accent4 25 2 3 3" xfId="28397" xr:uid="{00000000-0005-0000-0000-00000C0C0000}"/>
    <cellStyle name="20% - Accent4 25 2 4" xfId="25612" xr:uid="{00000000-0005-0000-0000-00000D0C0000}"/>
    <cellStyle name="20% - Accent4 25 2 5" xfId="28395" xr:uid="{00000000-0005-0000-0000-00000E0C0000}"/>
    <cellStyle name="20% - Accent4 25 3" xfId="8719" xr:uid="{00000000-0005-0000-0000-00000F0C0000}"/>
    <cellStyle name="20% - Accent4 25 3 2" xfId="25615" xr:uid="{00000000-0005-0000-0000-0000100C0000}"/>
    <cellStyle name="20% - Accent4 25 3 3" xfId="28398" xr:uid="{00000000-0005-0000-0000-0000110C0000}"/>
    <cellStyle name="20% - Accent4 25 4" xfId="8720" xr:uid="{00000000-0005-0000-0000-0000120C0000}"/>
    <cellStyle name="20% - Accent4 25 4 2" xfId="25616" xr:uid="{00000000-0005-0000-0000-0000130C0000}"/>
    <cellStyle name="20% - Accent4 25 4 3" xfId="28399" xr:uid="{00000000-0005-0000-0000-0000140C0000}"/>
    <cellStyle name="20% - Accent4 25 5" xfId="25611" xr:uid="{00000000-0005-0000-0000-0000150C0000}"/>
    <cellStyle name="20% - Accent4 25 6" xfId="28394" xr:uid="{00000000-0005-0000-0000-0000160C0000}"/>
    <cellStyle name="20% - Accent4 26" xfId="8721" xr:uid="{00000000-0005-0000-0000-0000170C0000}"/>
    <cellStyle name="20% - Accent4 27" xfId="8722" xr:uid="{00000000-0005-0000-0000-0000180C0000}"/>
    <cellStyle name="20% - Accent4 27 2" xfId="8723" xr:uid="{00000000-0005-0000-0000-0000190C0000}"/>
    <cellStyle name="20% - Accent4 27 2 2" xfId="8724" xr:uid="{00000000-0005-0000-0000-00001A0C0000}"/>
    <cellStyle name="20% - Accent4 27 2 2 2" xfId="25619" xr:uid="{00000000-0005-0000-0000-00001B0C0000}"/>
    <cellStyle name="20% - Accent4 27 2 2 3" xfId="28402" xr:uid="{00000000-0005-0000-0000-00001C0C0000}"/>
    <cellStyle name="20% - Accent4 27 2 3" xfId="8725" xr:uid="{00000000-0005-0000-0000-00001D0C0000}"/>
    <cellStyle name="20% - Accent4 27 2 3 2" xfId="25620" xr:uid="{00000000-0005-0000-0000-00001E0C0000}"/>
    <cellStyle name="20% - Accent4 27 2 3 3" xfId="28403" xr:uid="{00000000-0005-0000-0000-00001F0C0000}"/>
    <cellStyle name="20% - Accent4 27 2 4" xfId="25618" xr:uid="{00000000-0005-0000-0000-0000200C0000}"/>
    <cellStyle name="20% - Accent4 27 2 5" xfId="28401" xr:uid="{00000000-0005-0000-0000-0000210C0000}"/>
    <cellStyle name="20% - Accent4 27 3" xfId="8726" xr:uid="{00000000-0005-0000-0000-0000220C0000}"/>
    <cellStyle name="20% - Accent4 27 3 2" xfId="25621" xr:uid="{00000000-0005-0000-0000-0000230C0000}"/>
    <cellStyle name="20% - Accent4 27 3 3" xfId="28404" xr:uid="{00000000-0005-0000-0000-0000240C0000}"/>
    <cellStyle name="20% - Accent4 27 4" xfId="8727" xr:uid="{00000000-0005-0000-0000-0000250C0000}"/>
    <cellStyle name="20% - Accent4 27 4 2" xfId="25622" xr:uid="{00000000-0005-0000-0000-0000260C0000}"/>
    <cellStyle name="20% - Accent4 27 4 3" xfId="28405" xr:uid="{00000000-0005-0000-0000-0000270C0000}"/>
    <cellStyle name="20% - Accent4 27 5" xfId="25617" xr:uid="{00000000-0005-0000-0000-0000280C0000}"/>
    <cellStyle name="20% - Accent4 27 6" xfId="28400" xr:uid="{00000000-0005-0000-0000-0000290C0000}"/>
    <cellStyle name="20% - Accent4 28" xfId="8728" xr:uid="{00000000-0005-0000-0000-00002A0C0000}"/>
    <cellStyle name="20% - Accent4 28 2" xfId="8729" xr:uid="{00000000-0005-0000-0000-00002B0C0000}"/>
    <cellStyle name="20% - Accent4 28 2 2" xfId="25624" xr:uid="{00000000-0005-0000-0000-00002C0C0000}"/>
    <cellStyle name="20% - Accent4 28 2 3" xfId="28407" xr:uid="{00000000-0005-0000-0000-00002D0C0000}"/>
    <cellStyle name="20% - Accent4 28 3" xfId="8730" xr:uid="{00000000-0005-0000-0000-00002E0C0000}"/>
    <cellStyle name="20% - Accent4 28 3 2" xfId="25625" xr:uid="{00000000-0005-0000-0000-00002F0C0000}"/>
    <cellStyle name="20% - Accent4 28 3 3" xfId="28408" xr:uid="{00000000-0005-0000-0000-0000300C0000}"/>
    <cellStyle name="20% - Accent4 28 4" xfId="25623" xr:uid="{00000000-0005-0000-0000-0000310C0000}"/>
    <cellStyle name="20% - Accent4 28 5" xfId="28406" xr:uid="{00000000-0005-0000-0000-0000320C0000}"/>
    <cellStyle name="20% - Accent4 29" xfId="8731" xr:uid="{00000000-0005-0000-0000-0000330C0000}"/>
    <cellStyle name="20% - Accent4 29 2" xfId="25626" xr:uid="{00000000-0005-0000-0000-0000340C0000}"/>
    <cellStyle name="20% - Accent4 29 3" xfId="28409" xr:uid="{00000000-0005-0000-0000-0000350C0000}"/>
    <cellStyle name="20% - Accent4 3" xfId="224" xr:uid="{00000000-0005-0000-0000-0000360C0000}"/>
    <cellStyle name="20% - Accent4 3 10" xfId="3678" xr:uid="{00000000-0005-0000-0000-0000370C0000}"/>
    <cellStyle name="20% - Accent4 3 10 2" xfId="4348" xr:uid="{00000000-0005-0000-0000-0000380C0000}"/>
    <cellStyle name="20% - Accent4 3 10 2 2" xfId="8732" xr:uid="{00000000-0005-0000-0000-0000390C0000}"/>
    <cellStyle name="20% - Accent4 3 10 3" xfId="8733" xr:uid="{00000000-0005-0000-0000-00003A0C0000}"/>
    <cellStyle name="20% - Accent4 3 10 4" xfId="8734" xr:uid="{00000000-0005-0000-0000-00003B0C0000}"/>
    <cellStyle name="20% - Accent4 3 10 5" xfId="8735" xr:uid="{00000000-0005-0000-0000-00003C0C0000}"/>
    <cellStyle name="20% - Accent4 3 11" xfId="8736" xr:uid="{00000000-0005-0000-0000-00003D0C0000}"/>
    <cellStyle name="20% - Accent4 3 11 2" xfId="8737" xr:uid="{00000000-0005-0000-0000-00003E0C0000}"/>
    <cellStyle name="20% - Accent4 3 11 3" xfId="8738" xr:uid="{00000000-0005-0000-0000-00003F0C0000}"/>
    <cellStyle name="20% - Accent4 3 12" xfId="8739" xr:uid="{00000000-0005-0000-0000-0000400C0000}"/>
    <cellStyle name="20% - Accent4 3 12 2" xfId="8740" xr:uid="{00000000-0005-0000-0000-0000410C0000}"/>
    <cellStyle name="20% - Accent4 3 12 3" xfId="8741" xr:uid="{00000000-0005-0000-0000-0000420C0000}"/>
    <cellStyle name="20% - Accent4 3 13" xfId="8742" xr:uid="{00000000-0005-0000-0000-0000430C0000}"/>
    <cellStyle name="20% - Accent4 3 13 2" xfId="8743" xr:uid="{00000000-0005-0000-0000-0000440C0000}"/>
    <cellStyle name="20% - Accent4 3 13 3" xfId="8744" xr:uid="{00000000-0005-0000-0000-0000450C0000}"/>
    <cellStyle name="20% - Accent4 3 14" xfId="8745" xr:uid="{00000000-0005-0000-0000-0000460C0000}"/>
    <cellStyle name="20% - Accent4 3 15" xfId="8746" xr:uid="{00000000-0005-0000-0000-0000470C0000}"/>
    <cellStyle name="20% - Accent4 3 2" xfId="1451" xr:uid="{00000000-0005-0000-0000-0000480C0000}"/>
    <cellStyle name="20% - Accent4 3 2 10" xfId="8747" xr:uid="{00000000-0005-0000-0000-0000490C0000}"/>
    <cellStyle name="20% - Accent4 3 2 10 2" xfId="8748" xr:uid="{00000000-0005-0000-0000-00004A0C0000}"/>
    <cellStyle name="20% - Accent4 3 2 10 3" xfId="8749" xr:uid="{00000000-0005-0000-0000-00004B0C0000}"/>
    <cellStyle name="20% - Accent4 3 2 11" xfId="8750" xr:uid="{00000000-0005-0000-0000-00004C0C0000}"/>
    <cellStyle name="20% - Accent4 3 2 11 2" xfId="8751" xr:uid="{00000000-0005-0000-0000-00004D0C0000}"/>
    <cellStyle name="20% - Accent4 3 2 11 3" xfId="8752" xr:uid="{00000000-0005-0000-0000-00004E0C0000}"/>
    <cellStyle name="20% - Accent4 3 2 12" xfId="8753" xr:uid="{00000000-0005-0000-0000-00004F0C0000}"/>
    <cellStyle name="20% - Accent4 3 2 12 2" xfId="8754" xr:uid="{00000000-0005-0000-0000-0000500C0000}"/>
    <cellStyle name="20% - Accent4 3 2 12 3" xfId="8755" xr:uid="{00000000-0005-0000-0000-0000510C0000}"/>
    <cellStyle name="20% - Accent4 3 2 13" xfId="8756" xr:uid="{00000000-0005-0000-0000-0000520C0000}"/>
    <cellStyle name="20% - Accent4 3 2 14" xfId="8757" xr:uid="{00000000-0005-0000-0000-0000530C0000}"/>
    <cellStyle name="20% - Accent4 3 2 15" xfId="8758" xr:uid="{00000000-0005-0000-0000-0000540C0000}"/>
    <cellStyle name="20% - Accent4 3 2 2" xfId="1835" xr:uid="{00000000-0005-0000-0000-0000550C0000}"/>
    <cellStyle name="20% - Accent4 3 2 2 2" xfId="8759" xr:uid="{00000000-0005-0000-0000-0000560C0000}"/>
    <cellStyle name="20% - Accent4 3 2 2 3" xfId="8760" xr:uid="{00000000-0005-0000-0000-0000570C0000}"/>
    <cellStyle name="20% - Accent4 3 2 3" xfId="2210" xr:uid="{00000000-0005-0000-0000-0000580C0000}"/>
    <cellStyle name="20% - Accent4 3 2 3 2" xfId="8761" xr:uid="{00000000-0005-0000-0000-0000590C0000}"/>
    <cellStyle name="20% - Accent4 3 2 3 3" xfId="8762" xr:uid="{00000000-0005-0000-0000-00005A0C0000}"/>
    <cellStyle name="20% - Accent4 3 2 4" xfId="2584" xr:uid="{00000000-0005-0000-0000-00005B0C0000}"/>
    <cellStyle name="20% - Accent4 3 2 4 2" xfId="8763" xr:uid="{00000000-0005-0000-0000-00005C0C0000}"/>
    <cellStyle name="20% - Accent4 3 2 4 3" xfId="8764" xr:uid="{00000000-0005-0000-0000-00005D0C0000}"/>
    <cellStyle name="20% - Accent4 3 2 5" xfId="2956" xr:uid="{00000000-0005-0000-0000-00005E0C0000}"/>
    <cellStyle name="20% - Accent4 3 2 5 2" xfId="8765" xr:uid="{00000000-0005-0000-0000-00005F0C0000}"/>
    <cellStyle name="20% - Accent4 3 2 5 3" xfId="8766" xr:uid="{00000000-0005-0000-0000-0000600C0000}"/>
    <cellStyle name="20% - Accent4 3 2 6" xfId="3328" xr:uid="{00000000-0005-0000-0000-0000610C0000}"/>
    <cellStyle name="20% - Accent4 3 2 6 2" xfId="8767" xr:uid="{00000000-0005-0000-0000-0000620C0000}"/>
    <cellStyle name="20% - Accent4 3 2 6 3" xfId="8768" xr:uid="{00000000-0005-0000-0000-0000630C0000}"/>
    <cellStyle name="20% - Accent4 3 2 7" xfId="4349" xr:uid="{00000000-0005-0000-0000-0000640C0000}"/>
    <cellStyle name="20% - Accent4 3 2 7 2" xfId="8770" xr:uid="{00000000-0005-0000-0000-0000650C0000}"/>
    <cellStyle name="20% - Accent4 3 2 7 3" xfId="8771" xr:uid="{00000000-0005-0000-0000-0000660C0000}"/>
    <cellStyle name="20% - Accent4 3 2 7 4" xfId="8769" xr:uid="{00000000-0005-0000-0000-0000670C0000}"/>
    <cellStyle name="20% - Accent4 3 2 8" xfId="8772" xr:uid="{00000000-0005-0000-0000-0000680C0000}"/>
    <cellStyle name="20% - Accent4 3 2 8 2" xfId="8773" xr:uid="{00000000-0005-0000-0000-0000690C0000}"/>
    <cellStyle name="20% - Accent4 3 2 8 3" xfId="8774" xr:uid="{00000000-0005-0000-0000-00006A0C0000}"/>
    <cellStyle name="20% - Accent4 3 2 9" xfId="8775" xr:uid="{00000000-0005-0000-0000-00006B0C0000}"/>
    <cellStyle name="20% - Accent4 3 2 9 2" xfId="8776" xr:uid="{00000000-0005-0000-0000-00006C0C0000}"/>
    <cellStyle name="20% - Accent4 3 2 9 3" xfId="8777" xr:uid="{00000000-0005-0000-0000-00006D0C0000}"/>
    <cellStyle name="20% - Accent4 3 3" xfId="1578" xr:uid="{00000000-0005-0000-0000-00006E0C0000}"/>
    <cellStyle name="20% - Accent4 3 3 2" xfId="1912" xr:uid="{00000000-0005-0000-0000-00006F0C0000}"/>
    <cellStyle name="20% - Accent4 3 3 3" xfId="2287" xr:uid="{00000000-0005-0000-0000-0000700C0000}"/>
    <cellStyle name="20% - Accent4 3 3 4" xfId="2660" xr:uid="{00000000-0005-0000-0000-0000710C0000}"/>
    <cellStyle name="20% - Accent4 3 3 5" xfId="3033" xr:uid="{00000000-0005-0000-0000-0000720C0000}"/>
    <cellStyle name="20% - Accent4 3 3 6" xfId="3404" xr:uid="{00000000-0005-0000-0000-0000730C0000}"/>
    <cellStyle name="20% - Accent4 3 3 7" xfId="4350" xr:uid="{00000000-0005-0000-0000-0000740C0000}"/>
    <cellStyle name="20% - Accent4 3 4" xfId="1715" xr:uid="{00000000-0005-0000-0000-0000750C0000}"/>
    <cellStyle name="20% - Accent4 3 4 2" xfId="1956" xr:uid="{00000000-0005-0000-0000-0000760C0000}"/>
    <cellStyle name="20% - Accent4 3 4 3" xfId="2331" xr:uid="{00000000-0005-0000-0000-0000770C0000}"/>
    <cellStyle name="20% - Accent4 3 4 4" xfId="2704" xr:uid="{00000000-0005-0000-0000-0000780C0000}"/>
    <cellStyle name="20% - Accent4 3 4 5" xfId="3077" xr:uid="{00000000-0005-0000-0000-0000790C0000}"/>
    <cellStyle name="20% - Accent4 3 4 6" xfId="3448" xr:uid="{00000000-0005-0000-0000-00007A0C0000}"/>
    <cellStyle name="20% - Accent4 3 5" xfId="2050" xr:uid="{00000000-0005-0000-0000-00007B0C0000}"/>
    <cellStyle name="20% - Accent4 3 5 2" xfId="8778" xr:uid="{00000000-0005-0000-0000-00007C0C0000}"/>
    <cellStyle name="20% - Accent4 3 5 3" xfId="8779" xr:uid="{00000000-0005-0000-0000-00007D0C0000}"/>
    <cellStyle name="20% - Accent4 3 5 4" xfId="8780" xr:uid="{00000000-0005-0000-0000-00007E0C0000}"/>
    <cellStyle name="20% - Accent4 3 6" xfId="2424" xr:uid="{00000000-0005-0000-0000-00007F0C0000}"/>
    <cellStyle name="20% - Accent4 3 6 2" xfId="8781" xr:uid="{00000000-0005-0000-0000-0000800C0000}"/>
    <cellStyle name="20% - Accent4 3 6 3" xfId="8782" xr:uid="{00000000-0005-0000-0000-0000810C0000}"/>
    <cellStyle name="20% - Accent4 3 6 4" xfId="8783" xr:uid="{00000000-0005-0000-0000-0000820C0000}"/>
    <cellStyle name="20% - Accent4 3 7" xfId="2796" xr:uid="{00000000-0005-0000-0000-0000830C0000}"/>
    <cellStyle name="20% - Accent4 3 7 2" xfId="8784" xr:uid="{00000000-0005-0000-0000-0000840C0000}"/>
    <cellStyle name="20% - Accent4 3 7 3" xfId="8785" xr:uid="{00000000-0005-0000-0000-0000850C0000}"/>
    <cellStyle name="20% - Accent4 3 7 4" xfId="8786" xr:uid="{00000000-0005-0000-0000-0000860C0000}"/>
    <cellStyle name="20% - Accent4 3 8" xfId="3167" xr:uid="{00000000-0005-0000-0000-0000870C0000}"/>
    <cellStyle name="20% - Accent4 3 8 2" xfId="8787" xr:uid="{00000000-0005-0000-0000-0000880C0000}"/>
    <cellStyle name="20% - Accent4 3 8 3" xfId="8788" xr:uid="{00000000-0005-0000-0000-0000890C0000}"/>
    <cellStyle name="20% - Accent4 3 8 4" xfId="8789" xr:uid="{00000000-0005-0000-0000-00008A0C0000}"/>
    <cellStyle name="20% - Accent4 3 9" xfId="3542" xr:uid="{00000000-0005-0000-0000-00008B0C0000}"/>
    <cellStyle name="20% - Accent4 3 9 2" xfId="4351" xr:uid="{00000000-0005-0000-0000-00008C0C0000}"/>
    <cellStyle name="20% - Accent4 3 9 2 2" xfId="8790" xr:uid="{00000000-0005-0000-0000-00008D0C0000}"/>
    <cellStyle name="20% - Accent4 3 9 3" xfId="8791" xr:uid="{00000000-0005-0000-0000-00008E0C0000}"/>
    <cellStyle name="20% - Accent4 3 9 4" xfId="8792" xr:uid="{00000000-0005-0000-0000-00008F0C0000}"/>
    <cellStyle name="20% - Accent4 3 9 5" xfId="8793" xr:uid="{00000000-0005-0000-0000-0000900C0000}"/>
    <cellStyle name="20% - Accent4 30" xfId="28145" xr:uid="{00000000-0005-0000-0000-0000910C0000}"/>
    <cellStyle name="20% - Accent4 4" xfId="238" xr:uid="{00000000-0005-0000-0000-0000920C0000}"/>
    <cellStyle name="20% - Accent4 4 10" xfId="3722" xr:uid="{00000000-0005-0000-0000-0000930C0000}"/>
    <cellStyle name="20% - Accent4 4 10 2" xfId="4353" xr:uid="{00000000-0005-0000-0000-0000940C0000}"/>
    <cellStyle name="20% - Accent4 4 10 2 2" xfId="8795" xr:uid="{00000000-0005-0000-0000-0000950C0000}"/>
    <cellStyle name="20% - Accent4 4 10 3" xfId="8796" xr:uid="{00000000-0005-0000-0000-0000960C0000}"/>
    <cellStyle name="20% - Accent4 4 10 4" xfId="8797" xr:uid="{00000000-0005-0000-0000-0000970C0000}"/>
    <cellStyle name="20% - Accent4 4 10 5" xfId="8798" xr:uid="{00000000-0005-0000-0000-0000980C0000}"/>
    <cellStyle name="20% - Accent4 4 11" xfId="1306" xr:uid="{00000000-0005-0000-0000-0000990C0000}"/>
    <cellStyle name="20% - Accent4 4 11 10" xfId="25627" xr:uid="{00000000-0005-0000-0000-00009A0C0000}"/>
    <cellStyle name="20% - Accent4 4 11 11" xfId="28411" xr:uid="{00000000-0005-0000-0000-00009B0C0000}"/>
    <cellStyle name="20% - Accent4 4 11 2" xfId="4150" xr:uid="{00000000-0005-0000-0000-00009C0C0000}"/>
    <cellStyle name="20% - Accent4 4 11 2 2" xfId="5342" xr:uid="{00000000-0005-0000-0000-00009D0C0000}"/>
    <cellStyle name="20% - Accent4 4 11 2 2 2" xfId="6072" xr:uid="{00000000-0005-0000-0000-00009E0C0000}"/>
    <cellStyle name="20% - Accent4 4 11 2 2 2 2" xfId="25630" xr:uid="{00000000-0005-0000-0000-00009F0C0000}"/>
    <cellStyle name="20% - Accent4 4 11 2 2 3" xfId="8801" xr:uid="{00000000-0005-0000-0000-0000A00C0000}"/>
    <cellStyle name="20% - Accent4 4 11 2 2 4" xfId="25629" xr:uid="{00000000-0005-0000-0000-0000A10C0000}"/>
    <cellStyle name="20% - Accent4 4 11 2 3" xfId="5652" xr:uid="{00000000-0005-0000-0000-0000A20C0000}"/>
    <cellStyle name="20% - Accent4 4 11 2 3 2" xfId="6073" xr:uid="{00000000-0005-0000-0000-0000A30C0000}"/>
    <cellStyle name="20% - Accent4 4 11 2 3 2 2" xfId="25632" xr:uid="{00000000-0005-0000-0000-0000A40C0000}"/>
    <cellStyle name="20% - Accent4 4 11 2 3 3" xfId="25631" xr:uid="{00000000-0005-0000-0000-0000A50C0000}"/>
    <cellStyle name="20% - Accent4 4 11 2 4" xfId="4355" xr:uid="{00000000-0005-0000-0000-0000A60C0000}"/>
    <cellStyle name="20% - Accent4 4 11 2 4 2" xfId="6074" xr:uid="{00000000-0005-0000-0000-0000A70C0000}"/>
    <cellStyle name="20% - Accent4 4 11 2 4 2 2" xfId="25634" xr:uid="{00000000-0005-0000-0000-0000A80C0000}"/>
    <cellStyle name="20% - Accent4 4 11 2 4 3" xfId="25633" xr:uid="{00000000-0005-0000-0000-0000A90C0000}"/>
    <cellStyle name="20% - Accent4 4 11 2 5" xfId="6071" xr:uid="{00000000-0005-0000-0000-0000AA0C0000}"/>
    <cellStyle name="20% - Accent4 4 11 2 5 2" xfId="25635" xr:uid="{00000000-0005-0000-0000-0000AB0C0000}"/>
    <cellStyle name="20% - Accent4 4 11 2 6" xfId="8800" xr:uid="{00000000-0005-0000-0000-0000AC0C0000}"/>
    <cellStyle name="20% - Accent4 4 11 2 6 2" xfId="25636" xr:uid="{00000000-0005-0000-0000-0000AD0C0000}"/>
    <cellStyle name="20% - Accent4 4 11 2 7" xfId="25002" xr:uid="{00000000-0005-0000-0000-0000AE0C0000}"/>
    <cellStyle name="20% - Accent4 4 11 2 8" xfId="25628" xr:uid="{00000000-0005-0000-0000-0000AF0C0000}"/>
    <cellStyle name="20% - Accent4 4 11 2 9" xfId="28412" xr:uid="{00000000-0005-0000-0000-0000B00C0000}"/>
    <cellStyle name="20% - Accent4 4 11 3" xfId="5341" xr:uid="{00000000-0005-0000-0000-0000B10C0000}"/>
    <cellStyle name="20% - Accent4 4 11 3 2" xfId="6075" xr:uid="{00000000-0005-0000-0000-0000B20C0000}"/>
    <cellStyle name="20% - Accent4 4 11 3 2 2" xfId="25638" xr:uid="{00000000-0005-0000-0000-0000B30C0000}"/>
    <cellStyle name="20% - Accent4 4 11 3 3" xfId="8802" xr:uid="{00000000-0005-0000-0000-0000B40C0000}"/>
    <cellStyle name="20% - Accent4 4 11 3 4" xfId="25637" xr:uid="{00000000-0005-0000-0000-0000B50C0000}"/>
    <cellStyle name="20% - Accent4 4 11 4" xfId="5651" xr:uid="{00000000-0005-0000-0000-0000B60C0000}"/>
    <cellStyle name="20% - Accent4 4 11 4 2" xfId="6076" xr:uid="{00000000-0005-0000-0000-0000B70C0000}"/>
    <cellStyle name="20% - Accent4 4 11 4 2 2" xfId="25640" xr:uid="{00000000-0005-0000-0000-0000B80C0000}"/>
    <cellStyle name="20% - Accent4 4 11 4 3" xfId="8803" xr:uid="{00000000-0005-0000-0000-0000B90C0000}"/>
    <cellStyle name="20% - Accent4 4 11 4 4" xfId="25639" xr:uid="{00000000-0005-0000-0000-0000BA0C0000}"/>
    <cellStyle name="20% - Accent4 4 11 5" xfId="4354" xr:uid="{00000000-0005-0000-0000-0000BB0C0000}"/>
    <cellStyle name="20% - Accent4 4 11 5 2" xfId="6077" xr:uid="{00000000-0005-0000-0000-0000BC0C0000}"/>
    <cellStyle name="20% - Accent4 4 11 5 2 2" xfId="8805" xr:uid="{00000000-0005-0000-0000-0000BD0C0000}"/>
    <cellStyle name="20% - Accent4 4 11 5 2 2 2" xfId="25643" xr:uid="{00000000-0005-0000-0000-0000BE0C0000}"/>
    <cellStyle name="20% - Accent4 4 11 5 2 3" xfId="25642" xr:uid="{00000000-0005-0000-0000-0000BF0C0000}"/>
    <cellStyle name="20% - Accent4 4 11 5 2 4" xfId="28414" xr:uid="{00000000-0005-0000-0000-0000C00C0000}"/>
    <cellStyle name="20% - Accent4 4 11 5 3" xfId="8806" xr:uid="{00000000-0005-0000-0000-0000C10C0000}"/>
    <cellStyle name="20% - Accent4 4 11 5 3 2" xfId="25644" xr:uid="{00000000-0005-0000-0000-0000C20C0000}"/>
    <cellStyle name="20% - Accent4 4 11 5 3 3" xfId="28415" xr:uid="{00000000-0005-0000-0000-0000C30C0000}"/>
    <cellStyle name="20% - Accent4 4 11 5 4" xfId="8804" xr:uid="{00000000-0005-0000-0000-0000C40C0000}"/>
    <cellStyle name="20% - Accent4 4 11 5 4 2" xfId="25645" xr:uid="{00000000-0005-0000-0000-0000C50C0000}"/>
    <cellStyle name="20% - Accent4 4 11 5 5" xfId="25641" xr:uid="{00000000-0005-0000-0000-0000C60C0000}"/>
    <cellStyle name="20% - Accent4 4 11 5 6" xfId="28413" xr:uid="{00000000-0005-0000-0000-0000C70C0000}"/>
    <cellStyle name="20% - Accent4 4 11 6" xfId="6070" xr:uid="{00000000-0005-0000-0000-0000C80C0000}"/>
    <cellStyle name="20% - Accent4 4 11 6 2" xfId="8807" xr:uid="{00000000-0005-0000-0000-0000C90C0000}"/>
    <cellStyle name="20% - Accent4 4 11 6 2 2" xfId="25647" xr:uid="{00000000-0005-0000-0000-0000CA0C0000}"/>
    <cellStyle name="20% - Accent4 4 11 6 3" xfId="25646" xr:uid="{00000000-0005-0000-0000-0000CB0C0000}"/>
    <cellStyle name="20% - Accent4 4 11 6 4" xfId="28416" xr:uid="{00000000-0005-0000-0000-0000CC0C0000}"/>
    <cellStyle name="20% - Accent4 4 11 7" xfId="8808" xr:uid="{00000000-0005-0000-0000-0000CD0C0000}"/>
    <cellStyle name="20% - Accent4 4 11 7 2" xfId="25648" xr:uid="{00000000-0005-0000-0000-0000CE0C0000}"/>
    <cellStyle name="20% - Accent4 4 11 7 3" xfId="28417" xr:uid="{00000000-0005-0000-0000-0000CF0C0000}"/>
    <cellStyle name="20% - Accent4 4 11 8" xfId="8799" xr:uid="{00000000-0005-0000-0000-0000D00C0000}"/>
    <cellStyle name="20% - Accent4 4 11 8 2" xfId="25649" xr:uid="{00000000-0005-0000-0000-0000D10C0000}"/>
    <cellStyle name="20% - Accent4 4 11 9" xfId="24882" xr:uid="{00000000-0005-0000-0000-0000D20C0000}"/>
    <cellStyle name="20% - Accent4 4 12" xfId="4356" xr:uid="{00000000-0005-0000-0000-0000D30C0000}"/>
    <cellStyle name="20% - Accent4 4 12 2" xfId="5343" xr:uid="{00000000-0005-0000-0000-0000D40C0000}"/>
    <cellStyle name="20% - Accent4 4 12 2 2" xfId="6079" xr:uid="{00000000-0005-0000-0000-0000D50C0000}"/>
    <cellStyle name="20% - Accent4 4 12 2 2 2" xfId="25652" xr:uid="{00000000-0005-0000-0000-0000D60C0000}"/>
    <cellStyle name="20% - Accent4 4 12 2 3" xfId="8810" xr:uid="{00000000-0005-0000-0000-0000D70C0000}"/>
    <cellStyle name="20% - Accent4 4 12 2 4" xfId="25651" xr:uid="{00000000-0005-0000-0000-0000D80C0000}"/>
    <cellStyle name="20% - Accent4 4 12 3" xfId="5653" xr:uid="{00000000-0005-0000-0000-0000D90C0000}"/>
    <cellStyle name="20% - Accent4 4 12 3 2" xfId="6080" xr:uid="{00000000-0005-0000-0000-0000DA0C0000}"/>
    <cellStyle name="20% - Accent4 4 12 3 2 2" xfId="25654" xr:uid="{00000000-0005-0000-0000-0000DB0C0000}"/>
    <cellStyle name="20% - Accent4 4 12 3 3" xfId="8811" xr:uid="{00000000-0005-0000-0000-0000DC0C0000}"/>
    <cellStyle name="20% - Accent4 4 12 3 4" xfId="25653" xr:uid="{00000000-0005-0000-0000-0000DD0C0000}"/>
    <cellStyle name="20% - Accent4 4 12 4" xfId="6078" xr:uid="{00000000-0005-0000-0000-0000DE0C0000}"/>
    <cellStyle name="20% - Accent4 4 12 4 2" xfId="8812" xr:uid="{00000000-0005-0000-0000-0000DF0C0000}"/>
    <cellStyle name="20% - Accent4 4 12 4 3" xfId="25655" xr:uid="{00000000-0005-0000-0000-0000E00C0000}"/>
    <cellStyle name="20% - Accent4 4 12 5" xfId="8809" xr:uid="{00000000-0005-0000-0000-0000E10C0000}"/>
    <cellStyle name="20% - Accent4 4 12 5 2" xfId="25656" xr:uid="{00000000-0005-0000-0000-0000E20C0000}"/>
    <cellStyle name="20% - Accent4 4 12 6" xfId="25650" xr:uid="{00000000-0005-0000-0000-0000E30C0000}"/>
    <cellStyle name="20% - Accent4 4 12 7" xfId="28418" xr:uid="{00000000-0005-0000-0000-0000E40C0000}"/>
    <cellStyle name="20% - Accent4 4 13" xfId="5340" xr:uid="{00000000-0005-0000-0000-0000E50C0000}"/>
    <cellStyle name="20% - Accent4 4 13 2" xfId="6081" xr:uid="{00000000-0005-0000-0000-0000E60C0000}"/>
    <cellStyle name="20% - Accent4 4 13 2 2" xfId="8814" xr:uid="{00000000-0005-0000-0000-0000E70C0000}"/>
    <cellStyle name="20% - Accent4 4 13 2 3" xfId="25658" xr:uid="{00000000-0005-0000-0000-0000E80C0000}"/>
    <cellStyle name="20% - Accent4 4 13 3" xfId="8815" xr:uid="{00000000-0005-0000-0000-0000E90C0000}"/>
    <cellStyle name="20% - Accent4 4 13 4" xfId="8813" xr:uid="{00000000-0005-0000-0000-0000EA0C0000}"/>
    <cellStyle name="20% - Accent4 4 13 5" xfId="25657" xr:uid="{00000000-0005-0000-0000-0000EB0C0000}"/>
    <cellStyle name="20% - Accent4 4 14" xfId="5650" xr:uid="{00000000-0005-0000-0000-0000EC0C0000}"/>
    <cellStyle name="20% - Accent4 4 14 2" xfId="6082" xr:uid="{00000000-0005-0000-0000-0000ED0C0000}"/>
    <cellStyle name="20% - Accent4 4 14 2 2" xfId="25660" xr:uid="{00000000-0005-0000-0000-0000EE0C0000}"/>
    <cellStyle name="20% - Accent4 4 14 3" xfId="8816" xr:uid="{00000000-0005-0000-0000-0000EF0C0000}"/>
    <cellStyle name="20% - Accent4 4 14 4" xfId="25659" xr:uid="{00000000-0005-0000-0000-0000F00C0000}"/>
    <cellStyle name="20% - Accent4 4 15" xfId="4352" xr:uid="{00000000-0005-0000-0000-0000F10C0000}"/>
    <cellStyle name="20% - Accent4 4 15 2" xfId="6083" xr:uid="{00000000-0005-0000-0000-0000F20C0000}"/>
    <cellStyle name="20% - Accent4 4 15 2 2" xfId="25662" xr:uid="{00000000-0005-0000-0000-0000F30C0000}"/>
    <cellStyle name="20% - Accent4 4 15 3" xfId="8817" xr:uid="{00000000-0005-0000-0000-0000F40C0000}"/>
    <cellStyle name="20% - Accent4 4 15 4" xfId="25661" xr:uid="{00000000-0005-0000-0000-0000F50C0000}"/>
    <cellStyle name="20% - Accent4 4 16" xfId="8818" xr:uid="{00000000-0005-0000-0000-0000F60C0000}"/>
    <cellStyle name="20% - Accent4 4 17" xfId="8819" xr:uid="{00000000-0005-0000-0000-0000F70C0000}"/>
    <cellStyle name="20% - Accent4 4 17 2" xfId="8820" xr:uid="{00000000-0005-0000-0000-0000F80C0000}"/>
    <cellStyle name="20% - Accent4 4 17 2 2" xfId="25664" xr:uid="{00000000-0005-0000-0000-0000F90C0000}"/>
    <cellStyle name="20% - Accent4 4 17 2 3" xfId="28420" xr:uid="{00000000-0005-0000-0000-0000FA0C0000}"/>
    <cellStyle name="20% - Accent4 4 17 3" xfId="8821" xr:uid="{00000000-0005-0000-0000-0000FB0C0000}"/>
    <cellStyle name="20% - Accent4 4 17 3 2" xfId="25665" xr:uid="{00000000-0005-0000-0000-0000FC0C0000}"/>
    <cellStyle name="20% - Accent4 4 17 3 3" xfId="28421" xr:uid="{00000000-0005-0000-0000-0000FD0C0000}"/>
    <cellStyle name="20% - Accent4 4 17 4" xfId="25663" xr:uid="{00000000-0005-0000-0000-0000FE0C0000}"/>
    <cellStyle name="20% - Accent4 4 17 5" xfId="28419" xr:uid="{00000000-0005-0000-0000-0000FF0C0000}"/>
    <cellStyle name="20% - Accent4 4 18" xfId="8822" xr:uid="{00000000-0005-0000-0000-0000000D0000}"/>
    <cellStyle name="20% - Accent4 4 18 2" xfId="25666" xr:uid="{00000000-0005-0000-0000-0000010D0000}"/>
    <cellStyle name="20% - Accent4 4 18 3" xfId="28422" xr:uid="{00000000-0005-0000-0000-0000020D0000}"/>
    <cellStyle name="20% - Accent4 4 19" xfId="8823" xr:uid="{00000000-0005-0000-0000-0000030D0000}"/>
    <cellStyle name="20% - Accent4 4 19 2" xfId="25667" xr:uid="{00000000-0005-0000-0000-0000040D0000}"/>
    <cellStyle name="20% - Accent4 4 19 3" xfId="28423" xr:uid="{00000000-0005-0000-0000-0000050D0000}"/>
    <cellStyle name="20% - Accent4 4 2" xfId="1496" xr:uid="{00000000-0005-0000-0000-0000060D0000}"/>
    <cellStyle name="20% - Accent4 4 2 10" xfId="8824" xr:uid="{00000000-0005-0000-0000-0000070D0000}"/>
    <cellStyle name="20% - Accent4 4 2 10 2" xfId="8825" xr:uid="{00000000-0005-0000-0000-0000080D0000}"/>
    <cellStyle name="20% - Accent4 4 2 10 3" xfId="8826" xr:uid="{00000000-0005-0000-0000-0000090D0000}"/>
    <cellStyle name="20% - Accent4 4 2 11" xfId="8827" xr:uid="{00000000-0005-0000-0000-00000A0D0000}"/>
    <cellStyle name="20% - Accent4 4 2 11 2" xfId="8828" xr:uid="{00000000-0005-0000-0000-00000B0D0000}"/>
    <cellStyle name="20% - Accent4 4 2 11 3" xfId="8829" xr:uid="{00000000-0005-0000-0000-00000C0D0000}"/>
    <cellStyle name="20% - Accent4 4 2 12" xfId="8830" xr:uid="{00000000-0005-0000-0000-00000D0D0000}"/>
    <cellStyle name="20% - Accent4 4 2 12 2" xfId="8831" xr:uid="{00000000-0005-0000-0000-00000E0D0000}"/>
    <cellStyle name="20% - Accent4 4 2 12 3" xfId="8832" xr:uid="{00000000-0005-0000-0000-00000F0D0000}"/>
    <cellStyle name="20% - Accent4 4 2 13" xfId="8833" xr:uid="{00000000-0005-0000-0000-0000100D0000}"/>
    <cellStyle name="20% - Accent4 4 2 14" xfId="8834" xr:uid="{00000000-0005-0000-0000-0000110D0000}"/>
    <cellStyle name="20% - Accent4 4 2 15" xfId="8835" xr:uid="{00000000-0005-0000-0000-0000120D0000}"/>
    <cellStyle name="20% - Accent4 4 2 16" xfId="8836" xr:uid="{00000000-0005-0000-0000-0000130D0000}"/>
    <cellStyle name="20% - Accent4 4 2 2" xfId="4357" xr:uid="{00000000-0005-0000-0000-0000140D0000}"/>
    <cellStyle name="20% - Accent4 4 2 2 2" xfId="8838" xr:uid="{00000000-0005-0000-0000-0000150D0000}"/>
    <cellStyle name="20% - Accent4 4 2 2 3" xfId="8839" xr:uid="{00000000-0005-0000-0000-0000160D0000}"/>
    <cellStyle name="20% - Accent4 4 2 2 4" xfId="8837" xr:uid="{00000000-0005-0000-0000-0000170D0000}"/>
    <cellStyle name="20% - Accent4 4 2 3" xfId="8840" xr:uid="{00000000-0005-0000-0000-0000180D0000}"/>
    <cellStyle name="20% - Accent4 4 2 3 2" xfId="8841" xr:uid="{00000000-0005-0000-0000-0000190D0000}"/>
    <cellStyle name="20% - Accent4 4 2 3 3" xfId="8842" xr:uid="{00000000-0005-0000-0000-00001A0D0000}"/>
    <cellStyle name="20% - Accent4 4 2 4" xfId="8843" xr:uid="{00000000-0005-0000-0000-00001B0D0000}"/>
    <cellStyle name="20% - Accent4 4 2 4 2" xfId="8844" xr:uid="{00000000-0005-0000-0000-00001C0D0000}"/>
    <cellStyle name="20% - Accent4 4 2 4 3" xfId="8845" xr:uid="{00000000-0005-0000-0000-00001D0D0000}"/>
    <cellStyle name="20% - Accent4 4 2 5" xfId="8846" xr:uid="{00000000-0005-0000-0000-00001E0D0000}"/>
    <cellStyle name="20% - Accent4 4 2 5 2" xfId="8847" xr:uid="{00000000-0005-0000-0000-00001F0D0000}"/>
    <cellStyle name="20% - Accent4 4 2 5 3" xfId="8848" xr:uid="{00000000-0005-0000-0000-0000200D0000}"/>
    <cellStyle name="20% - Accent4 4 2 6" xfId="8849" xr:uid="{00000000-0005-0000-0000-0000210D0000}"/>
    <cellStyle name="20% - Accent4 4 2 6 2" xfId="8850" xr:uid="{00000000-0005-0000-0000-0000220D0000}"/>
    <cellStyle name="20% - Accent4 4 2 6 3" xfId="8851" xr:uid="{00000000-0005-0000-0000-0000230D0000}"/>
    <cellStyle name="20% - Accent4 4 2 7" xfId="8852" xr:uid="{00000000-0005-0000-0000-0000240D0000}"/>
    <cellStyle name="20% - Accent4 4 2 7 2" xfId="8853" xr:uid="{00000000-0005-0000-0000-0000250D0000}"/>
    <cellStyle name="20% - Accent4 4 2 7 3" xfId="8854" xr:uid="{00000000-0005-0000-0000-0000260D0000}"/>
    <cellStyle name="20% - Accent4 4 2 8" xfId="8855" xr:uid="{00000000-0005-0000-0000-0000270D0000}"/>
    <cellStyle name="20% - Accent4 4 2 8 2" xfId="8856" xr:uid="{00000000-0005-0000-0000-0000280D0000}"/>
    <cellStyle name="20% - Accent4 4 2 8 3" xfId="8857" xr:uid="{00000000-0005-0000-0000-0000290D0000}"/>
    <cellStyle name="20% - Accent4 4 2 9" xfId="8858" xr:uid="{00000000-0005-0000-0000-00002A0D0000}"/>
    <cellStyle name="20% - Accent4 4 2 9 2" xfId="8859" xr:uid="{00000000-0005-0000-0000-00002B0D0000}"/>
    <cellStyle name="20% - Accent4 4 2 9 3" xfId="8860" xr:uid="{00000000-0005-0000-0000-00002C0D0000}"/>
    <cellStyle name="20% - Accent4 4 20" xfId="8794" xr:uid="{00000000-0005-0000-0000-00002D0D0000}"/>
    <cellStyle name="20% - Accent4 4 20 2" xfId="25668" xr:uid="{00000000-0005-0000-0000-00002E0D0000}"/>
    <cellStyle name="20% - Accent4 4 21" xfId="28410" xr:uid="{00000000-0005-0000-0000-00002F0D0000}"/>
    <cellStyle name="20% - Accent4 4 3" xfId="1621" xr:uid="{00000000-0005-0000-0000-0000300D0000}"/>
    <cellStyle name="20% - Accent4 4 3 2" xfId="4358" xr:uid="{00000000-0005-0000-0000-0000310D0000}"/>
    <cellStyle name="20% - Accent4 4 3 2 2" xfId="8861" xr:uid="{00000000-0005-0000-0000-0000320D0000}"/>
    <cellStyle name="20% - Accent4 4 3 3" xfId="8862" xr:uid="{00000000-0005-0000-0000-0000330D0000}"/>
    <cellStyle name="20% - Accent4 4 3 4" xfId="8863" xr:uid="{00000000-0005-0000-0000-0000340D0000}"/>
    <cellStyle name="20% - Accent4 4 3 5" xfId="8864" xr:uid="{00000000-0005-0000-0000-0000350D0000}"/>
    <cellStyle name="20% - Accent4 4 4" xfId="1801" xr:uid="{00000000-0005-0000-0000-0000360D0000}"/>
    <cellStyle name="20% - Accent4 4 4 2" xfId="8865" xr:uid="{00000000-0005-0000-0000-0000370D0000}"/>
    <cellStyle name="20% - Accent4 4 4 3" xfId="8866" xr:uid="{00000000-0005-0000-0000-0000380D0000}"/>
    <cellStyle name="20% - Accent4 4 4 4" xfId="8867" xr:uid="{00000000-0005-0000-0000-0000390D0000}"/>
    <cellStyle name="20% - Accent4 4 5" xfId="2137" xr:uid="{00000000-0005-0000-0000-00003A0D0000}"/>
    <cellStyle name="20% - Accent4 4 5 2" xfId="8868" xr:uid="{00000000-0005-0000-0000-00003B0D0000}"/>
    <cellStyle name="20% - Accent4 4 5 3" xfId="8869" xr:uid="{00000000-0005-0000-0000-00003C0D0000}"/>
    <cellStyle name="20% - Accent4 4 5 4" xfId="8870" xr:uid="{00000000-0005-0000-0000-00003D0D0000}"/>
    <cellStyle name="20% - Accent4 4 6" xfId="2511" xr:uid="{00000000-0005-0000-0000-00003E0D0000}"/>
    <cellStyle name="20% - Accent4 4 6 2" xfId="8871" xr:uid="{00000000-0005-0000-0000-00003F0D0000}"/>
    <cellStyle name="20% - Accent4 4 6 3" xfId="8872" xr:uid="{00000000-0005-0000-0000-0000400D0000}"/>
    <cellStyle name="20% - Accent4 4 6 4" xfId="8873" xr:uid="{00000000-0005-0000-0000-0000410D0000}"/>
    <cellStyle name="20% - Accent4 4 7" xfId="2883" xr:uid="{00000000-0005-0000-0000-0000420D0000}"/>
    <cellStyle name="20% - Accent4 4 7 2" xfId="8874" xr:uid="{00000000-0005-0000-0000-0000430D0000}"/>
    <cellStyle name="20% - Accent4 4 7 3" xfId="8875" xr:uid="{00000000-0005-0000-0000-0000440D0000}"/>
    <cellStyle name="20% - Accent4 4 7 4" xfId="8876" xr:uid="{00000000-0005-0000-0000-0000450D0000}"/>
    <cellStyle name="20% - Accent4 4 8" xfId="3254" xr:uid="{00000000-0005-0000-0000-0000460D0000}"/>
    <cellStyle name="20% - Accent4 4 8 2" xfId="8877" xr:uid="{00000000-0005-0000-0000-0000470D0000}"/>
    <cellStyle name="20% - Accent4 4 8 3" xfId="8878" xr:uid="{00000000-0005-0000-0000-0000480D0000}"/>
    <cellStyle name="20% - Accent4 4 8 4" xfId="8879" xr:uid="{00000000-0005-0000-0000-0000490D0000}"/>
    <cellStyle name="20% - Accent4 4 9" xfId="3585" xr:uid="{00000000-0005-0000-0000-00004A0D0000}"/>
    <cellStyle name="20% - Accent4 4 9 2" xfId="4359" xr:uid="{00000000-0005-0000-0000-00004B0D0000}"/>
    <cellStyle name="20% - Accent4 4 9 2 2" xfId="8880" xr:uid="{00000000-0005-0000-0000-00004C0D0000}"/>
    <cellStyle name="20% - Accent4 4 9 3" xfId="8881" xr:uid="{00000000-0005-0000-0000-00004D0D0000}"/>
    <cellStyle name="20% - Accent4 4 9 4" xfId="8882" xr:uid="{00000000-0005-0000-0000-00004E0D0000}"/>
    <cellStyle name="20% - Accent4 4 9 5" xfId="8883" xr:uid="{00000000-0005-0000-0000-00004F0D0000}"/>
    <cellStyle name="20% - Accent4 5" xfId="371" xr:uid="{00000000-0005-0000-0000-0000500D0000}"/>
    <cellStyle name="20% - Accent4 5 10" xfId="8884" xr:uid="{00000000-0005-0000-0000-0000510D0000}"/>
    <cellStyle name="20% - Accent4 5 10 2" xfId="8885" xr:uid="{00000000-0005-0000-0000-0000520D0000}"/>
    <cellStyle name="20% - Accent4 5 10 3" xfId="8886" xr:uid="{00000000-0005-0000-0000-0000530D0000}"/>
    <cellStyle name="20% - Accent4 5 11" xfId="8887" xr:uid="{00000000-0005-0000-0000-0000540D0000}"/>
    <cellStyle name="20% - Accent4 5 11 2" xfId="8888" xr:uid="{00000000-0005-0000-0000-0000550D0000}"/>
    <cellStyle name="20% - Accent4 5 11 3" xfId="8889" xr:uid="{00000000-0005-0000-0000-0000560D0000}"/>
    <cellStyle name="20% - Accent4 5 12" xfId="8890" xr:uid="{00000000-0005-0000-0000-0000570D0000}"/>
    <cellStyle name="20% - Accent4 5 12 2" xfId="8891" xr:uid="{00000000-0005-0000-0000-0000580D0000}"/>
    <cellStyle name="20% - Accent4 5 12 3" xfId="8892" xr:uid="{00000000-0005-0000-0000-0000590D0000}"/>
    <cellStyle name="20% - Accent4 5 13" xfId="8893" xr:uid="{00000000-0005-0000-0000-00005A0D0000}"/>
    <cellStyle name="20% - Accent4 5 13 2" xfId="8894" xr:uid="{00000000-0005-0000-0000-00005B0D0000}"/>
    <cellStyle name="20% - Accent4 5 13 3" xfId="8895" xr:uid="{00000000-0005-0000-0000-00005C0D0000}"/>
    <cellStyle name="20% - Accent4 5 14" xfId="8896" xr:uid="{00000000-0005-0000-0000-00005D0D0000}"/>
    <cellStyle name="20% - Accent4 5 15" xfId="8897" xr:uid="{00000000-0005-0000-0000-00005E0D0000}"/>
    <cellStyle name="20% - Accent4 5 16" xfId="8898" xr:uid="{00000000-0005-0000-0000-00005F0D0000}"/>
    <cellStyle name="20% - Accent4 5 17" xfId="8899" xr:uid="{00000000-0005-0000-0000-0000600D0000}"/>
    <cellStyle name="20% - Accent4 5 2" xfId="1865" xr:uid="{00000000-0005-0000-0000-0000610D0000}"/>
    <cellStyle name="20% - Accent4 5 2 10" xfId="8900" xr:uid="{00000000-0005-0000-0000-0000620D0000}"/>
    <cellStyle name="20% - Accent4 5 2 10 2" xfId="8901" xr:uid="{00000000-0005-0000-0000-0000630D0000}"/>
    <cellStyle name="20% - Accent4 5 2 10 3" xfId="8902" xr:uid="{00000000-0005-0000-0000-0000640D0000}"/>
    <cellStyle name="20% - Accent4 5 2 11" xfId="8903" xr:uid="{00000000-0005-0000-0000-0000650D0000}"/>
    <cellStyle name="20% - Accent4 5 2 11 2" xfId="8904" xr:uid="{00000000-0005-0000-0000-0000660D0000}"/>
    <cellStyle name="20% - Accent4 5 2 11 3" xfId="8905" xr:uid="{00000000-0005-0000-0000-0000670D0000}"/>
    <cellStyle name="20% - Accent4 5 2 12" xfId="8906" xr:uid="{00000000-0005-0000-0000-0000680D0000}"/>
    <cellStyle name="20% - Accent4 5 2 12 2" xfId="8907" xr:uid="{00000000-0005-0000-0000-0000690D0000}"/>
    <cellStyle name="20% - Accent4 5 2 12 3" xfId="8908" xr:uid="{00000000-0005-0000-0000-00006A0D0000}"/>
    <cellStyle name="20% - Accent4 5 2 13" xfId="8909" xr:uid="{00000000-0005-0000-0000-00006B0D0000}"/>
    <cellStyle name="20% - Accent4 5 2 14" xfId="8910" xr:uid="{00000000-0005-0000-0000-00006C0D0000}"/>
    <cellStyle name="20% - Accent4 5 2 15" xfId="8911" xr:uid="{00000000-0005-0000-0000-00006D0D0000}"/>
    <cellStyle name="20% - Accent4 5 2 2" xfId="8912" xr:uid="{00000000-0005-0000-0000-00006E0D0000}"/>
    <cellStyle name="20% - Accent4 5 2 2 2" xfId="8913" xr:uid="{00000000-0005-0000-0000-00006F0D0000}"/>
    <cellStyle name="20% - Accent4 5 2 2 3" xfId="8914" xr:uid="{00000000-0005-0000-0000-0000700D0000}"/>
    <cellStyle name="20% - Accent4 5 2 3" xfId="8915" xr:uid="{00000000-0005-0000-0000-0000710D0000}"/>
    <cellStyle name="20% - Accent4 5 2 3 2" xfId="8916" xr:uid="{00000000-0005-0000-0000-0000720D0000}"/>
    <cellStyle name="20% - Accent4 5 2 3 3" xfId="8917" xr:uid="{00000000-0005-0000-0000-0000730D0000}"/>
    <cellStyle name="20% - Accent4 5 2 4" xfId="8918" xr:uid="{00000000-0005-0000-0000-0000740D0000}"/>
    <cellStyle name="20% - Accent4 5 2 4 2" xfId="8919" xr:uid="{00000000-0005-0000-0000-0000750D0000}"/>
    <cellStyle name="20% - Accent4 5 2 4 3" xfId="8920" xr:uid="{00000000-0005-0000-0000-0000760D0000}"/>
    <cellStyle name="20% - Accent4 5 2 5" xfId="8921" xr:uid="{00000000-0005-0000-0000-0000770D0000}"/>
    <cellStyle name="20% - Accent4 5 2 5 2" xfId="8922" xr:uid="{00000000-0005-0000-0000-0000780D0000}"/>
    <cellStyle name="20% - Accent4 5 2 5 3" xfId="8923" xr:uid="{00000000-0005-0000-0000-0000790D0000}"/>
    <cellStyle name="20% - Accent4 5 2 6" xfId="8924" xr:uid="{00000000-0005-0000-0000-00007A0D0000}"/>
    <cellStyle name="20% - Accent4 5 2 6 2" xfId="8925" xr:uid="{00000000-0005-0000-0000-00007B0D0000}"/>
    <cellStyle name="20% - Accent4 5 2 6 3" xfId="8926" xr:uid="{00000000-0005-0000-0000-00007C0D0000}"/>
    <cellStyle name="20% - Accent4 5 2 7" xfId="8927" xr:uid="{00000000-0005-0000-0000-00007D0D0000}"/>
    <cellStyle name="20% - Accent4 5 2 7 2" xfId="8928" xr:uid="{00000000-0005-0000-0000-00007E0D0000}"/>
    <cellStyle name="20% - Accent4 5 2 7 3" xfId="8929" xr:uid="{00000000-0005-0000-0000-00007F0D0000}"/>
    <cellStyle name="20% - Accent4 5 2 8" xfId="8930" xr:uid="{00000000-0005-0000-0000-0000800D0000}"/>
    <cellStyle name="20% - Accent4 5 2 8 2" xfId="8931" xr:uid="{00000000-0005-0000-0000-0000810D0000}"/>
    <cellStyle name="20% - Accent4 5 2 8 3" xfId="8932" xr:uid="{00000000-0005-0000-0000-0000820D0000}"/>
    <cellStyle name="20% - Accent4 5 2 9" xfId="8933" xr:uid="{00000000-0005-0000-0000-0000830D0000}"/>
    <cellStyle name="20% - Accent4 5 2 9 2" xfId="8934" xr:uid="{00000000-0005-0000-0000-0000840D0000}"/>
    <cellStyle name="20% - Accent4 5 2 9 3" xfId="8935" xr:uid="{00000000-0005-0000-0000-0000850D0000}"/>
    <cellStyle name="20% - Accent4 5 3" xfId="2240" xr:uid="{00000000-0005-0000-0000-0000860D0000}"/>
    <cellStyle name="20% - Accent4 5 3 2" xfId="8936" xr:uid="{00000000-0005-0000-0000-0000870D0000}"/>
    <cellStyle name="20% - Accent4 5 3 3" xfId="8937" xr:uid="{00000000-0005-0000-0000-0000880D0000}"/>
    <cellStyle name="20% - Accent4 5 3 4" xfId="8938" xr:uid="{00000000-0005-0000-0000-0000890D0000}"/>
    <cellStyle name="20% - Accent4 5 4" xfId="2614" xr:uid="{00000000-0005-0000-0000-00008A0D0000}"/>
    <cellStyle name="20% - Accent4 5 4 2" xfId="8939" xr:uid="{00000000-0005-0000-0000-00008B0D0000}"/>
    <cellStyle name="20% - Accent4 5 4 3" xfId="8940" xr:uid="{00000000-0005-0000-0000-00008C0D0000}"/>
    <cellStyle name="20% - Accent4 5 4 4" xfId="8941" xr:uid="{00000000-0005-0000-0000-00008D0D0000}"/>
    <cellStyle name="20% - Accent4 5 5" xfId="2986" xr:uid="{00000000-0005-0000-0000-00008E0D0000}"/>
    <cellStyle name="20% - Accent4 5 5 2" xfId="8942" xr:uid="{00000000-0005-0000-0000-00008F0D0000}"/>
    <cellStyle name="20% - Accent4 5 5 3" xfId="8943" xr:uid="{00000000-0005-0000-0000-0000900D0000}"/>
    <cellStyle name="20% - Accent4 5 5 4" xfId="8944" xr:uid="{00000000-0005-0000-0000-0000910D0000}"/>
    <cellStyle name="20% - Accent4 5 6" xfId="3358" xr:uid="{00000000-0005-0000-0000-0000920D0000}"/>
    <cellStyle name="20% - Accent4 5 6 2" xfId="8945" xr:uid="{00000000-0005-0000-0000-0000930D0000}"/>
    <cellStyle name="20% - Accent4 5 6 3" xfId="8946" xr:uid="{00000000-0005-0000-0000-0000940D0000}"/>
    <cellStyle name="20% - Accent4 5 6 4" xfId="8947" xr:uid="{00000000-0005-0000-0000-0000950D0000}"/>
    <cellStyle name="20% - Accent4 5 7" xfId="4360" xr:uid="{00000000-0005-0000-0000-0000960D0000}"/>
    <cellStyle name="20% - Accent4 5 7 2" xfId="8949" xr:uid="{00000000-0005-0000-0000-0000970D0000}"/>
    <cellStyle name="20% - Accent4 5 7 3" xfId="8950" xr:uid="{00000000-0005-0000-0000-0000980D0000}"/>
    <cellStyle name="20% - Accent4 5 7 4" xfId="8948" xr:uid="{00000000-0005-0000-0000-0000990D0000}"/>
    <cellStyle name="20% - Accent4 5 8" xfId="8951" xr:uid="{00000000-0005-0000-0000-00009A0D0000}"/>
    <cellStyle name="20% - Accent4 5 8 2" xfId="8952" xr:uid="{00000000-0005-0000-0000-00009B0D0000}"/>
    <cellStyle name="20% - Accent4 5 8 3" xfId="8953" xr:uid="{00000000-0005-0000-0000-00009C0D0000}"/>
    <cellStyle name="20% - Accent4 5 9" xfId="8954" xr:uid="{00000000-0005-0000-0000-00009D0D0000}"/>
    <cellStyle name="20% - Accent4 5 9 2" xfId="8955" xr:uid="{00000000-0005-0000-0000-00009E0D0000}"/>
    <cellStyle name="20% - Accent4 5 9 3" xfId="8956" xr:uid="{00000000-0005-0000-0000-00009F0D0000}"/>
    <cellStyle name="20% - Accent4 6" xfId="372" xr:uid="{00000000-0005-0000-0000-0000A00D0000}"/>
    <cellStyle name="20% - Accent4 6 10" xfId="5344" xr:uid="{00000000-0005-0000-0000-0000A10D0000}"/>
    <cellStyle name="20% - Accent4 6 10 2" xfId="6085" xr:uid="{00000000-0005-0000-0000-0000A20D0000}"/>
    <cellStyle name="20% - Accent4 6 10 2 2" xfId="8959" xr:uid="{00000000-0005-0000-0000-0000A30D0000}"/>
    <cellStyle name="20% - Accent4 6 10 2 3" xfId="25671" xr:uid="{00000000-0005-0000-0000-0000A40D0000}"/>
    <cellStyle name="20% - Accent4 6 10 3" xfId="8960" xr:uid="{00000000-0005-0000-0000-0000A50D0000}"/>
    <cellStyle name="20% - Accent4 6 10 4" xfId="8958" xr:uid="{00000000-0005-0000-0000-0000A60D0000}"/>
    <cellStyle name="20% - Accent4 6 10 5" xfId="25670" xr:uid="{00000000-0005-0000-0000-0000A70D0000}"/>
    <cellStyle name="20% - Accent4 6 11" xfId="5654" xr:uid="{00000000-0005-0000-0000-0000A80D0000}"/>
    <cellStyle name="20% - Accent4 6 11 2" xfId="6086" xr:uid="{00000000-0005-0000-0000-0000A90D0000}"/>
    <cellStyle name="20% - Accent4 6 11 2 2" xfId="8962" xr:uid="{00000000-0005-0000-0000-0000AA0D0000}"/>
    <cellStyle name="20% - Accent4 6 11 2 3" xfId="25673" xr:uid="{00000000-0005-0000-0000-0000AB0D0000}"/>
    <cellStyle name="20% - Accent4 6 11 3" xfId="8963" xr:uid="{00000000-0005-0000-0000-0000AC0D0000}"/>
    <cellStyle name="20% - Accent4 6 11 4" xfId="8961" xr:uid="{00000000-0005-0000-0000-0000AD0D0000}"/>
    <cellStyle name="20% - Accent4 6 11 5" xfId="25672" xr:uid="{00000000-0005-0000-0000-0000AE0D0000}"/>
    <cellStyle name="20% - Accent4 6 12" xfId="4361" xr:uid="{00000000-0005-0000-0000-0000AF0D0000}"/>
    <cellStyle name="20% - Accent4 6 12 2" xfId="6087" xr:uid="{00000000-0005-0000-0000-0000B00D0000}"/>
    <cellStyle name="20% - Accent4 6 12 2 2" xfId="8965" xr:uid="{00000000-0005-0000-0000-0000B10D0000}"/>
    <cellStyle name="20% - Accent4 6 12 2 3" xfId="25675" xr:uid="{00000000-0005-0000-0000-0000B20D0000}"/>
    <cellStyle name="20% - Accent4 6 12 3" xfId="8966" xr:uid="{00000000-0005-0000-0000-0000B30D0000}"/>
    <cellStyle name="20% - Accent4 6 12 4" xfId="8964" xr:uid="{00000000-0005-0000-0000-0000B40D0000}"/>
    <cellStyle name="20% - Accent4 6 12 5" xfId="25674" xr:uid="{00000000-0005-0000-0000-0000B50D0000}"/>
    <cellStyle name="20% - Accent4 6 13" xfId="6084" xr:uid="{00000000-0005-0000-0000-0000B60D0000}"/>
    <cellStyle name="20% - Accent4 6 13 2" xfId="8967" xr:uid="{00000000-0005-0000-0000-0000B70D0000}"/>
    <cellStyle name="20% - Accent4 6 13 3" xfId="25676" xr:uid="{00000000-0005-0000-0000-0000B80D0000}"/>
    <cellStyle name="20% - Accent4 6 14" xfId="8968" xr:uid="{00000000-0005-0000-0000-0000B90D0000}"/>
    <cellStyle name="20% - Accent4 6 15" xfId="8969" xr:uid="{00000000-0005-0000-0000-0000BA0D0000}"/>
    <cellStyle name="20% - Accent4 6 16" xfId="8970" xr:uid="{00000000-0005-0000-0000-0000BB0D0000}"/>
    <cellStyle name="20% - Accent4 6 16 2" xfId="8971" xr:uid="{00000000-0005-0000-0000-0000BC0D0000}"/>
    <cellStyle name="20% - Accent4 6 16 2 2" xfId="25678" xr:uid="{00000000-0005-0000-0000-0000BD0D0000}"/>
    <cellStyle name="20% - Accent4 6 16 2 3" xfId="28426" xr:uid="{00000000-0005-0000-0000-0000BE0D0000}"/>
    <cellStyle name="20% - Accent4 6 16 3" xfId="8972" xr:uid="{00000000-0005-0000-0000-0000BF0D0000}"/>
    <cellStyle name="20% - Accent4 6 16 3 2" xfId="25679" xr:uid="{00000000-0005-0000-0000-0000C00D0000}"/>
    <cellStyle name="20% - Accent4 6 16 3 3" xfId="28427" xr:uid="{00000000-0005-0000-0000-0000C10D0000}"/>
    <cellStyle name="20% - Accent4 6 16 4" xfId="25677" xr:uid="{00000000-0005-0000-0000-0000C20D0000}"/>
    <cellStyle name="20% - Accent4 6 16 5" xfId="28425" xr:uid="{00000000-0005-0000-0000-0000C30D0000}"/>
    <cellStyle name="20% - Accent4 6 17" xfId="8973" xr:uid="{00000000-0005-0000-0000-0000C40D0000}"/>
    <cellStyle name="20% - Accent4 6 17 2" xfId="25680" xr:uid="{00000000-0005-0000-0000-0000C50D0000}"/>
    <cellStyle name="20% - Accent4 6 17 3" xfId="28428" xr:uid="{00000000-0005-0000-0000-0000C60D0000}"/>
    <cellStyle name="20% - Accent4 6 18" xfId="8974" xr:uid="{00000000-0005-0000-0000-0000C70D0000}"/>
    <cellStyle name="20% - Accent4 6 18 2" xfId="25681" xr:uid="{00000000-0005-0000-0000-0000C80D0000}"/>
    <cellStyle name="20% - Accent4 6 18 3" xfId="28429" xr:uid="{00000000-0005-0000-0000-0000C90D0000}"/>
    <cellStyle name="20% - Accent4 6 19" xfId="8957" xr:uid="{00000000-0005-0000-0000-0000CA0D0000}"/>
    <cellStyle name="20% - Accent4 6 19 2" xfId="25682" xr:uid="{00000000-0005-0000-0000-0000CB0D0000}"/>
    <cellStyle name="20% - Accent4 6 2" xfId="1972" xr:uid="{00000000-0005-0000-0000-0000CC0D0000}"/>
    <cellStyle name="20% - Accent4 6 2 2" xfId="4362" xr:uid="{00000000-0005-0000-0000-0000CD0D0000}"/>
    <cellStyle name="20% - Accent4 6 2 2 2" xfId="8975" xr:uid="{00000000-0005-0000-0000-0000CE0D0000}"/>
    <cellStyle name="20% - Accent4 6 2 3" xfId="8976" xr:uid="{00000000-0005-0000-0000-0000CF0D0000}"/>
    <cellStyle name="20% - Accent4 6 2 4" xfId="8977" xr:uid="{00000000-0005-0000-0000-0000D00D0000}"/>
    <cellStyle name="20% - Accent4 6 2 5" xfId="8978" xr:uid="{00000000-0005-0000-0000-0000D10D0000}"/>
    <cellStyle name="20% - Accent4 6 20" xfId="24834" xr:uid="{00000000-0005-0000-0000-0000D20D0000}"/>
    <cellStyle name="20% - Accent4 6 21" xfId="25669" xr:uid="{00000000-0005-0000-0000-0000D30D0000}"/>
    <cellStyle name="20% - Accent4 6 22" xfId="28424" xr:uid="{00000000-0005-0000-0000-0000D40D0000}"/>
    <cellStyle name="20% - Accent4 6 3" xfId="2347" xr:uid="{00000000-0005-0000-0000-0000D50D0000}"/>
    <cellStyle name="20% - Accent4 6 3 2" xfId="4363" xr:uid="{00000000-0005-0000-0000-0000D60D0000}"/>
    <cellStyle name="20% - Accent4 6 3 2 2" xfId="8979" xr:uid="{00000000-0005-0000-0000-0000D70D0000}"/>
    <cellStyle name="20% - Accent4 6 3 3" xfId="8980" xr:uid="{00000000-0005-0000-0000-0000D80D0000}"/>
    <cellStyle name="20% - Accent4 6 3 4" xfId="8981" xr:uid="{00000000-0005-0000-0000-0000D90D0000}"/>
    <cellStyle name="20% - Accent4 6 3 5" xfId="8982" xr:uid="{00000000-0005-0000-0000-0000DA0D0000}"/>
    <cellStyle name="20% - Accent4 6 4" xfId="2720" xr:uid="{00000000-0005-0000-0000-0000DB0D0000}"/>
    <cellStyle name="20% - Accent4 6 4 2" xfId="4364" xr:uid="{00000000-0005-0000-0000-0000DC0D0000}"/>
    <cellStyle name="20% - Accent4 6 4 2 2" xfId="8983" xr:uid="{00000000-0005-0000-0000-0000DD0D0000}"/>
    <cellStyle name="20% - Accent4 6 4 3" xfId="8984" xr:uid="{00000000-0005-0000-0000-0000DE0D0000}"/>
    <cellStyle name="20% - Accent4 6 4 4" xfId="8985" xr:uid="{00000000-0005-0000-0000-0000DF0D0000}"/>
    <cellStyle name="20% - Accent4 6 4 5" xfId="8986" xr:uid="{00000000-0005-0000-0000-0000E00D0000}"/>
    <cellStyle name="20% - Accent4 6 5" xfId="3093" xr:uid="{00000000-0005-0000-0000-0000E10D0000}"/>
    <cellStyle name="20% - Accent4 6 5 2" xfId="4365" xr:uid="{00000000-0005-0000-0000-0000E20D0000}"/>
    <cellStyle name="20% - Accent4 6 5 2 2" xfId="8987" xr:uid="{00000000-0005-0000-0000-0000E30D0000}"/>
    <cellStyle name="20% - Accent4 6 5 3" xfId="8988" xr:uid="{00000000-0005-0000-0000-0000E40D0000}"/>
    <cellStyle name="20% - Accent4 6 5 4" xfId="8989" xr:uid="{00000000-0005-0000-0000-0000E50D0000}"/>
    <cellStyle name="20% - Accent4 6 5 5" xfId="8990" xr:uid="{00000000-0005-0000-0000-0000E60D0000}"/>
    <cellStyle name="20% - Accent4 6 6" xfId="3464" xr:uid="{00000000-0005-0000-0000-0000E70D0000}"/>
    <cellStyle name="20% - Accent4 6 6 2" xfId="4366" xr:uid="{00000000-0005-0000-0000-0000E80D0000}"/>
    <cellStyle name="20% - Accent4 6 6 2 2" xfId="8991" xr:uid="{00000000-0005-0000-0000-0000E90D0000}"/>
    <cellStyle name="20% - Accent4 6 6 3" xfId="8992" xr:uid="{00000000-0005-0000-0000-0000EA0D0000}"/>
    <cellStyle name="20% - Accent4 6 6 4" xfId="8993" xr:uid="{00000000-0005-0000-0000-0000EB0D0000}"/>
    <cellStyle name="20% - Accent4 6 6 5" xfId="8994" xr:uid="{00000000-0005-0000-0000-0000EC0D0000}"/>
    <cellStyle name="20% - Accent4 6 7" xfId="3770" xr:uid="{00000000-0005-0000-0000-0000ED0D0000}"/>
    <cellStyle name="20% - Accent4 6 7 2" xfId="4367" xr:uid="{00000000-0005-0000-0000-0000EE0D0000}"/>
    <cellStyle name="20% - Accent4 6 7 2 2" xfId="8995" xr:uid="{00000000-0005-0000-0000-0000EF0D0000}"/>
    <cellStyle name="20% - Accent4 6 7 3" xfId="8996" xr:uid="{00000000-0005-0000-0000-0000F00D0000}"/>
    <cellStyle name="20% - Accent4 6 7 4" xfId="8997" xr:uid="{00000000-0005-0000-0000-0000F10D0000}"/>
    <cellStyle name="20% - Accent4 6 7 5" xfId="8998" xr:uid="{00000000-0005-0000-0000-0000F20D0000}"/>
    <cellStyle name="20% - Accent4 6 8" xfId="1367" xr:uid="{00000000-0005-0000-0000-0000F30D0000}"/>
    <cellStyle name="20% - Accent4 6 8 10" xfId="25683" xr:uid="{00000000-0005-0000-0000-0000F40D0000}"/>
    <cellStyle name="20% - Accent4 6 8 11" xfId="28430" xr:uid="{00000000-0005-0000-0000-0000F50D0000}"/>
    <cellStyle name="20% - Accent4 6 8 2" xfId="4167" xr:uid="{00000000-0005-0000-0000-0000F60D0000}"/>
    <cellStyle name="20% - Accent4 6 8 2 2" xfId="5346" xr:uid="{00000000-0005-0000-0000-0000F70D0000}"/>
    <cellStyle name="20% - Accent4 6 8 2 2 2" xfId="6090" xr:uid="{00000000-0005-0000-0000-0000F80D0000}"/>
    <cellStyle name="20% - Accent4 6 8 2 2 2 2" xfId="25686" xr:uid="{00000000-0005-0000-0000-0000F90D0000}"/>
    <cellStyle name="20% - Accent4 6 8 2 2 3" xfId="9001" xr:uid="{00000000-0005-0000-0000-0000FA0D0000}"/>
    <cellStyle name="20% - Accent4 6 8 2 2 4" xfId="25685" xr:uid="{00000000-0005-0000-0000-0000FB0D0000}"/>
    <cellStyle name="20% - Accent4 6 8 2 3" xfId="5656" xr:uid="{00000000-0005-0000-0000-0000FC0D0000}"/>
    <cellStyle name="20% - Accent4 6 8 2 3 2" xfId="6091" xr:uid="{00000000-0005-0000-0000-0000FD0D0000}"/>
    <cellStyle name="20% - Accent4 6 8 2 3 2 2" xfId="25688" xr:uid="{00000000-0005-0000-0000-0000FE0D0000}"/>
    <cellStyle name="20% - Accent4 6 8 2 3 3" xfId="25687" xr:uid="{00000000-0005-0000-0000-0000FF0D0000}"/>
    <cellStyle name="20% - Accent4 6 8 2 4" xfId="4369" xr:uid="{00000000-0005-0000-0000-0000000E0000}"/>
    <cellStyle name="20% - Accent4 6 8 2 4 2" xfId="6092" xr:uid="{00000000-0005-0000-0000-0000010E0000}"/>
    <cellStyle name="20% - Accent4 6 8 2 4 2 2" xfId="25690" xr:uid="{00000000-0005-0000-0000-0000020E0000}"/>
    <cellStyle name="20% - Accent4 6 8 2 4 3" xfId="25689" xr:uid="{00000000-0005-0000-0000-0000030E0000}"/>
    <cellStyle name="20% - Accent4 6 8 2 5" xfId="6089" xr:uid="{00000000-0005-0000-0000-0000040E0000}"/>
    <cellStyle name="20% - Accent4 6 8 2 5 2" xfId="25691" xr:uid="{00000000-0005-0000-0000-0000050E0000}"/>
    <cellStyle name="20% - Accent4 6 8 2 6" xfId="9000" xr:uid="{00000000-0005-0000-0000-0000060E0000}"/>
    <cellStyle name="20% - Accent4 6 8 2 6 2" xfId="25692" xr:uid="{00000000-0005-0000-0000-0000070E0000}"/>
    <cellStyle name="20% - Accent4 6 8 2 7" xfId="25019" xr:uid="{00000000-0005-0000-0000-0000080E0000}"/>
    <cellStyle name="20% - Accent4 6 8 2 8" xfId="25684" xr:uid="{00000000-0005-0000-0000-0000090E0000}"/>
    <cellStyle name="20% - Accent4 6 8 2 9" xfId="28431" xr:uid="{00000000-0005-0000-0000-00000A0E0000}"/>
    <cellStyle name="20% - Accent4 6 8 3" xfId="5345" xr:uid="{00000000-0005-0000-0000-00000B0E0000}"/>
    <cellStyle name="20% - Accent4 6 8 3 2" xfId="6093" xr:uid="{00000000-0005-0000-0000-00000C0E0000}"/>
    <cellStyle name="20% - Accent4 6 8 3 2 2" xfId="25694" xr:uid="{00000000-0005-0000-0000-00000D0E0000}"/>
    <cellStyle name="20% - Accent4 6 8 3 3" xfId="9002" xr:uid="{00000000-0005-0000-0000-00000E0E0000}"/>
    <cellStyle name="20% - Accent4 6 8 3 4" xfId="25693" xr:uid="{00000000-0005-0000-0000-00000F0E0000}"/>
    <cellStyle name="20% - Accent4 6 8 4" xfId="5655" xr:uid="{00000000-0005-0000-0000-0000100E0000}"/>
    <cellStyle name="20% - Accent4 6 8 4 2" xfId="6094" xr:uid="{00000000-0005-0000-0000-0000110E0000}"/>
    <cellStyle name="20% - Accent4 6 8 4 2 2" xfId="25696" xr:uid="{00000000-0005-0000-0000-0000120E0000}"/>
    <cellStyle name="20% - Accent4 6 8 4 3" xfId="9003" xr:uid="{00000000-0005-0000-0000-0000130E0000}"/>
    <cellStyle name="20% - Accent4 6 8 4 4" xfId="25695" xr:uid="{00000000-0005-0000-0000-0000140E0000}"/>
    <cellStyle name="20% - Accent4 6 8 5" xfId="4368" xr:uid="{00000000-0005-0000-0000-0000150E0000}"/>
    <cellStyle name="20% - Accent4 6 8 5 2" xfId="6095" xr:uid="{00000000-0005-0000-0000-0000160E0000}"/>
    <cellStyle name="20% - Accent4 6 8 5 2 2" xfId="9005" xr:uid="{00000000-0005-0000-0000-0000170E0000}"/>
    <cellStyle name="20% - Accent4 6 8 5 2 2 2" xfId="25699" xr:uid="{00000000-0005-0000-0000-0000180E0000}"/>
    <cellStyle name="20% - Accent4 6 8 5 2 3" xfId="25698" xr:uid="{00000000-0005-0000-0000-0000190E0000}"/>
    <cellStyle name="20% - Accent4 6 8 5 2 4" xfId="28433" xr:uid="{00000000-0005-0000-0000-00001A0E0000}"/>
    <cellStyle name="20% - Accent4 6 8 5 3" xfId="9006" xr:uid="{00000000-0005-0000-0000-00001B0E0000}"/>
    <cellStyle name="20% - Accent4 6 8 5 3 2" xfId="25700" xr:uid="{00000000-0005-0000-0000-00001C0E0000}"/>
    <cellStyle name="20% - Accent4 6 8 5 3 3" xfId="28434" xr:uid="{00000000-0005-0000-0000-00001D0E0000}"/>
    <cellStyle name="20% - Accent4 6 8 5 4" xfId="9004" xr:uid="{00000000-0005-0000-0000-00001E0E0000}"/>
    <cellStyle name="20% - Accent4 6 8 5 4 2" xfId="25701" xr:uid="{00000000-0005-0000-0000-00001F0E0000}"/>
    <cellStyle name="20% - Accent4 6 8 5 5" xfId="25697" xr:uid="{00000000-0005-0000-0000-0000200E0000}"/>
    <cellStyle name="20% - Accent4 6 8 5 6" xfId="28432" xr:uid="{00000000-0005-0000-0000-0000210E0000}"/>
    <cellStyle name="20% - Accent4 6 8 6" xfId="6088" xr:uid="{00000000-0005-0000-0000-0000220E0000}"/>
    <cellStyle name="20% - Accent4 6 8 6 2" xfId="9007" xr:uid="{00000000-0005-0000-0000-0000230E0000}"/>
    <cellStyle name="20% - Accent4 6 8 6 2 2" xfId="25703" xr:uid="{00000000-0005-0000-0000-0000240E0000}"/>
    <cellStyle name="20% - Accent4 6 8 6 3" xfId="25702" xr:uid="{00000000-0005-0000-0000-0000250E0000}"/>
    <cellStyle name="20% - Accent4 6 8 6 4" xfId="28435" xr:uid="{00000000-0005-0000-0000-0000260E0000}"/>
    <cellStyle name="20% - Accent4 6 8 7" xfId="9008" xr:uid="{00000000-0005-0000-0000-0000270E0000}"/>
    <cellStyle name="20% - Accent4 6 8 7 2" xfId="25704" xr:uid="{00000000-0005-0000-0000-0000280E0000}"/>
    <cellStyle name="20% - Accent4 6 8 7 3" xfId="28436" xr:uid="{00000000-0005-0000-0000-0000290E0000}"/>
    <cellStyle name="20% - Accent4 6 8 8" xfId="8999" xr:uid="{00000000-0005-0000-0000-00002A0E0000}"/>
    <cellStyle name="20% - Accent4 6 8 8 2" xfId="25705" xr:uid="{00000000-0005-0000-0000-00002B0E0000}"/>
    <cellStyle name="20% - Accent4 6 8 9" xfId="24899" xr:uid="{00000000-0005-0000-0000-00002C0E0000}"/>
    <cellStyle name="20% - Accent4 6 9" xfId="3820" xr:uid="{00000000-0005-0000-0000-00002D0E0000}"/>
    <cellStyle name="20% - Accent4 6 9 2" xfId="5347" xr:uid="{00000000-0005-0000-0000-00002E0E0000}"/>
    <cellStyle name="20% - Accent4 6 9 2 2" xfId="6097" xr:uid="{00000000-0005-0000-0000-00002F0E0000}"/>
    <cellStyle name="20% - Accent4 6 9 2 2 2" xfId="25708" xr:uid="{00000000-0005-0000-0000-0000300E0000}"/>
    <cellStyle name="20% - Accent4 6 9 2 3" xfId="9010" xr:uid="{00000000-0005-0000-0000-0000310E0000}"/>
    <cellStyle name="20% - Accent4 6 9 2 4" xfId="25707" xr:uid="{00000000-0005-0000-0000-0000320E0000}"/>
    <cellStyle name="20% - Accent4 6 9 3" xfId="5657" xr:uid="{00000000-0005-0000-0000-0000330E0000}"/>
    <cellStyle name="20% - Accent4 6 9 3 2" xfId="6098" xr:uid="{00000000-0005-0000-0000-0000340E0000}"/>
    <cellStyle name="20% - Accent4 6 9 3 2 2" xfId="25710" xr:uid="{00000000-0005-0000-0000-0000350E0000}"/>
    <cellStyle name="20% - Accent4 6 9 3 3" xfId="9011" xr:uid="{00000000-0005-0000-0000-0000360E0000}"/>
    <cellStyle name="20% - Accent4 6 9 3 4" xfId="25709" xr:uid="{00000000-0005-0000-0000-0000370E0000}"/>
    <cellStyle name="20% - Accent4 6 9 4" xfId="4370" xr:uid="{00000000-0005-0000-0000-0000380E0000}"/>
    <cellStyle name="20% - Accent4 6 9 4 2" xfId="6099" xr:uid="{00000000-0005-0000-0000-0000390E0000}"/>
    <cellStyle name="20% - Accent4 6 9 4 2 2" xfId="25712" xr:uid="{00000000-0005-0000-0000-00003A0E0000}"/>
    <cellStyle name="20% - Accent4 6 9 4 3" xfId="9012" xr:uid="{00000000-0005-0000-0000-00003B0E0000}"/>
    <cellStyle name="20% - Accent4 6 9 4 4" xfId="25711" xr:uid="{00000000-0005-0000-0000-00003C0E0000}"/>
    <cellStyle name="20% - Accent4 6 9 5" xfId="6096" xr:uid="{00000000-0005-0000-0000-00003D0E0000}"/>
    <cellStyle name="20% - Accent4 6 9 5 2" xfId="25713" xr:uid="{00000000-0005-0000-0000-00003E0E0000}"/>
    <cellStyle name="20% - Accent4 6 9 6" xfId="9009" xr:uid="{00000000-0005-0000-0000-00003F0E0000}"/>
    <cellStyle name="20% - Accent4 6 9 6 2" xfId="25714" xr:uid="{00000000-0005-0000-0000-0000400E0000}"/>
    <cellStyle name="20% - Accent4 6 9 7" xfId="24956" xr:uid="{00000000-0005-0000-0000-0000410E0000}"/>
    <cellStyle name="20% - Accent4 6 9 8" xfId="25706" xr:uid="{00000000-0005-0000-0000-0000420E0000}"/>
    <cellStyle name="20% - Accent4 6 9 9" xfId="28437" xr:uid="{00000000-0005-0000-0000-0000430E0000}"/>
    <cellStyle name="20% - Accent4 7" xfId="373" xr:uid="{00000000-0005-0000-0000-0000440E0000}"/>
    <cellStyle name="20% - Accent4 7 10" xfId="9013" xr:uid="{00000000-0005-0000-0000-0000450E0000}"/>
    <cellStyle name="20% - Accent4 7 10 2" xfId="9014" xr:uid="{00000000-0005-0000-0000-0000460E0000}"/>
    <cellStyle name="20% - Accent4 7 10 3" xfId="9015" xr:uid="{00000000-0005-0000-0000-0000470E0000}"/>
    <cellStyle name="20% - Accent4 7 11" xfId="9016" xr:uid="{00000000-0005-0000-0000-0000480E0000}"/>
    <cellStyle name="20% - Accent4 7 11 2" xfId="9017" xr:uid="{00000000-0005-0000-0000-0000490E0000}"/>
    <cellStyle name="20% - Accent4 7 11 3" xfId="9018" xr:uid="{00000000-0005-0000-0000-00004A0E0000}"/>
    <cellStyle name="20% - Accent4 7 12" xfId="9019" xr:uid="{00000000-0005-0000-0000-00004B0E0000}"/>
    <cellStyle name="20% - Accent4 7 12 2" xfId="9020" xr:uid="{00000000-0005-0000-0000-00004C0E0000}"/>
    <cellStyle name="20% - Accent4 7 12 3" xfId="9021" xr:uid="{00000000-0005-0000-0000-00004D0E0000}"/>
    <cellStyle name="20% - Accent4 7 13" xfId="9022" xr:uid="{00000000-0005-0000-0000-00004E0E0000}"/>
    <cellStyle name="20% - Accent4 7 14" xfId="9023" xr:uid="{00000000-0005-0000-0000-00004F0E0000}"/>
    <cellStyle name="20% - Accent4 7 15" xfId="9024" xr:uid="{00000000-0005-0000-0000-0000500E0000}"/>
    <cellStyle name="20% - Accent4 7 16" xfId="9025" xr:uid="{00000000-0005-0000-0000-0000510E0000}"/>
    <cellStyle name="20% - Accent4 7 2" xfId="4371" xr:uid="{00000000-0005-0000-0000-0000520E0000}"/>
    <cellStyle name="20% - Accent4 7 2 2" xfId="9027" xr:uid="{00000000-0005-0000-0000-0000530E0000}"/>
    <cellStyle name="20% - Accent4 7 2 3" xfId="9028" xr:uid="{00000000-0005-0000-0000-0000540E0000}"/>
    <cellStyle name="20% - Accent4 7 2 4" xfId="9026" xr:uid="{00000000-0005-0000-0000-0000550E0000}"/>
    <cellStyle name="20% - Accent4 7 3" xfId="9029" xr:uid="{00000000-0005-0000-0000-0000560E0000}"/>
    <cellStyle name="20% - Accent4 7 3 2" xfId="9030" xr:uid="{00000000-0005-0000-0000-0000570E0000}"/>
    <cellStyle name="20% - Accent4 7 3 3" xfId="9031" xr:uid="{00000000-0005-0000-0000-0000580E0000}"/>
    <cellStyle name="20% - Accent4 7 4" xfId="9032" xr:uid="{00000000-0005-0000-0000-0000590E0000}"/>
    <cellStyle name="20% - Accent4 7 4 2" xfId="9033" xr:uid="{00000000-0005-0000-0000-00005A0E0000}"/>
    <cellStyle name="20% - Accent4 7 4 3" xfId="9034" xr:uid="{00000000-0005-0000-0000-00005B0E0000}"/>
    <cellStyle name="20% - Accent4 7 5" xfId="9035" xr:uid="{00000000-0005-0000-0000-00005C0E0000}"/>
    <cellStyle name="20% - Accent4 7 5 2" xfId="9036" xr:uid="{00000000-0005-0000-0000-00005D0E0000}"/>
    <cellStyle name="20% - Accent4 7 5 3" xfId="9037" xr:uid="{00000000-0005-0000-0000-00005E0E0000}"/>
    <cellStyle name="20% - Accent4 7 6" xfId="9038" xr:uid="{00000000-0005-0000-0000-00005F0E0000}"/>
    <cellStyle name="20% - Accent4 7 6 2" xfId="9039" xr:uid="{00000000-0005-0000-0000-0000600E0000}"/>
    <cellStyle name="20% - Accent4 7 6 3" xfId="9040" xr:uid="{00000000-0005-0000-0000-0000610E0000}"/>
    <cellStyle name="20% - Accent4 7 7" xfId="9041" xr:uid="{00000000-0005-0000-0000-0000620E0000}"/>
    <cellStyle name="20% - Accent4 7 7 2" xfId="9042" xr:uid="{00000000-0005-0000-0000-0000630E0000}"/>
    <cellStyle name="20% - Accent4 7 7 3" xfId="9043" xr:uid="{00000000-0005-0000-0000-0000640E0000}"/>
    <cellStyle name="20% - Accent4 7 8" xfId="9044" xr:uid="{00000000-0005-0000-0000-0000650E0000}"/>
    <cellStyle name="20% - Accent4 7 8 2" xfId="9045" xr:uid="{00000000-0005-0000-0000-0000660E0000}"/>
    <cellStyle name="20% - Accent4 7 8 3" xfId="9046" xr:uid="{00000000-0005-0000-0000-0000670E0000}"/>
    <cellStyle name="20% - Accent4 7 9" xfId="9047" xr:uid="{00000000-0005-0000-0000-0000680E0000}"/>
    <cellStyle name="20% - Accent4 7 9 2" xfId="9048" xr:uid="{00000000-0005-0000-0000-0000690E0000}"/>
    <cellStyle name="20% - Accent4 7 9 3" xfId="9049" xr:uid="{00000000-0005-0000-0000-00006A0E0000}"/>
    <cellStyle name="20% - Accent4 8" xfId="529" xr:uid="{00000000-0005-0000-0000-00006B0E0000}"/>
    <cellStyle name="20% - Accent4 8 10" xfId="24848" xr:uid="{00000000-0005-0000-0000-00006C0E0000}"/>
    <cellStyle name="20% - Accent4 8 11" xfId="25715" xr:uid="{00000000-0005-0000-0000-00006D0E0000}"/>
    <cellStyle name="20% - Accent4 8 12" xfId="28438" xr:uid="{00000000-0005-0000-0000-00006E0E0000}"/>
    <cellStyle name="20% - Accent4 8 2" xfId="1378" xr:uid="{00000000-0005-0000-0000-00006F0E0000}"/>
    <cellStyle name="20% - Accent4 8 2 10" xfId="25716" xr:uid="{00000000-0005-0000-0000-0000700E0000}"/>
    <cellStyle name="20% - Accent4 8 2 11" xfId="28439" xr:uid="{00000000-0005-0000-0000-0000710E0000}"/>
    <cellStyle name="20% - Accent4 8 2 2" xfId="4178" xr:uid="{00000000-0005-0000-0000-0000720E0000}"/>
    <cellStyle name="20% - Accent4 8 2 2 2" xfId="5350" xr:uid="{00000000-0005-0000-0000-0000730E0000}"/>
    <cellStyle name="20% - Accent4 8 2 2 2 2" xfId="6103" xr:uid="{00000000-0005-0000-0000-0000740E0000}"/>
    <cellStyle name="20% - Accent4 8 2 2 2 2 2" xfId="25719" xr:uid="{00000000-0005-0000-0000-0000750E0000}"/>
    <cellStyle name="20% - Accent4 8 2 2 2 3" xfId="9053" xr:uid="{00000000-0005-0000-0000-0000760E0000}"/>
    <cellStyle name="20% - Accent4 8 2 2 2 4" xfId="25718" xr:uid="{00000000-0005-0000-0000-0000770E0000}"/>
    <cellStyle name="20% - Accent4 8 2 2 3" xfId="5660" xr:uid="{00000000-0005-0000-0000-0000780E0000}"/>
    <cellStyle name="20% - Accent4 8 2 2 3 2" xfId="6104" xr:uid="{00000000-0005-0000-0000-0000790E0000}"/>
    <cellStyle name="20% - Accent4 8 2 2 3 2 2" xfId="25721" xr:uid="{00000000-0005-0000-0000-00007A0E0000}"/>
    <cellStyle name="20% - Accent4 8 2 2 3 3" xfId="25720" xr:uid="{00000000-0005-0000-0000-00007B0E0000}"/>
    <cellStyle name="20% - Accent4 8 2 2 4" xfId="4374" xr:uid="{00000000-0005-0000-0000-00007C0E0000}"/>
    <cellStyle name="20% - Accent4 8 2 2 4 2" xfId="6105" xr:uid="{00000000-0005-0000-0000-00007D0E0000}"/>
    <cellStyle name="20% - Accent4 8 2 2 4 2 2" xfId="25723" xr:uid="{00000000-0005-0000-0000-00007E0E0000}"/>
    <cellStyle name="20% - Accent4 8 2 2 4 3" xfId="25722" xr:uid="{00000000-0005-0000-0000-00007F0E0000}"/>
    <cellStyle name="20% - Accent4 8 2 2 5" xfId="6102" xr:uid="{00000000-0005-0000-0000-0000800E0000}"/>
    <cellStyle name="20% - Accent4 8 2 2 5 2" xfId="25724" xr:uid="{00000000-0005-0000-0000-0000810E0000}"/>
    <cellStyle name="20% - Accent4 8 2 2 6" xfId="9052" xr:uid="{00000000-0005-0000-0000-0000820E0000}"/>
    <cellStyle name="20% - Accent4 8 2 2 6 2" xfId="25725" xr:uid="{00000000-0005-0000-0000-0000830E0000}"/>
    <cellStyle name="20% - Accent4 8 2 2 7" xfId="25030" xr:uid="{00000000-0005-0000-0000-0000840E0000}"/>
    <cellStyle name="20% - Accent4 8 2 2 8" xfId="25717" xr:uid="{00000000-0005-0000-0000-0000850E0000}"/>
    <cellStyle name="20% - Accent4 8 2 2 9" xfId="28440" xr:uid="{00000000-0005-0000-0000-0000860E0000}"/>
    <cellStyle name="20% - Accent4 8 2 3" xfId="5349" xr:uid="{00000000-0005-0000-0000-0000870E0000}"/>
    <cellStyle name="20% - Accent4 8 2 3 2" xfId="6106" xr:uid="{00000000-0005-0000-0000-0000880E0000}"/>
    <cellStyle name="20% - Accent4 8 2 3 2 2" xfId="25727" xr:uid="{00000000-0005-0000-0000-0000890E0000}"/>
    <cellStyle name="20% - Accent4 8 2 3 3" xfId="9054" xr:uid="{00000000-0005-0000-0000-00008A0E0000}"/>
    <cellStyle name="20% - Accent4 8 2 3 4" xfId="25726" xr:uid="{00000000-0005-0000-0000-00008B0E0000}"/>
    <cellStyle name="20% - Accent4 8 2 4" xfId="5659" xr:uid="{00000000-0005-0000-0000-00008C0E0000}"/>
    <cellStyle name="20% - Accent4 8 2 4 2" xfId="6107" xr:uid="{00000000-0005-0000-0000-00008D0E0000}"/>
    <cellStyle name="20% - Accent4 8 2 4 2 2" xfId="25729" xr:uid="{00000000-0005-0000-0000-00008E0E0000}"/>
    <cellStyle name="20% - Accent4 8 2 4 3" xfId="9055" xr:uid="{00000000-0005-0000-0000-00008F0E0000}"/>
    <cellStyle name="20% - Accent4 8 2 4 4" xfId="25728" xr:uid="{00000000-0005-0000-0000-0000900E0000}"/>
    <cellStyle name="20% - Accent4 8 2 5" xfId="4373" xr:uid="{00000000-0005-0000-0000-0000910E0000}"/>
    <cellStyle name="20% - Accent4 8 2 5 2" xfId="6108" xr:uid="{00000000-0005-0000-0000-0000920E0000}"/>
    <cellStyle name="20% - Accent4 8 2 5 2 2" xfId="9057" xr:uid="{00000000-0005-0000-0000-0000930E0000}"/>
    <cellStyle name="20% - Accent4 8 2 5 2 2 2" xfId="25732" xr:uid="{00000000-0005-0000-0000-0000940E0000}"/>
    <cellStyle name="20% - Accent4 8 2 5 2 3" xfId="25731" xr:uid="{00000000-0005-0000-0000-0000950E0000}"/>
    <cellStyle name="20% - Accent4 8 2 5 2 4" xfId="28442" xr:uid="{00000000-0005-0000-0000-0000960E0000}"/>
    <cellStyle name="20% - Accent4 8 2 5 3" xfId="9058" xr:uid="{00000000-0005-0000-0000-0000970E0000}"/>
    <cellStyle name="20% - Accent4 8 2 5 3 2" xfId="25733" xr:uid="{00000000-0005-0000-0000-0000980E0000}"/>
    <cellStyle name="20% - Accent4 8 2 5 3 3" xfId="28443" xr:uid="{00000000-0005-0000-0000-0000990E0000}"/>
    <cellStyle name="20% - Accent4 8 2 5 4" xfId="9056" xr:uid="{00000000-0005-0000-0000-00009A0E0000}"/>
    <cellStyle name="20% - Accent4 8 2 5 4 2" xfId="25734" xr:uid="{00000000-0005-0000-0000-00009B0E0000}"/>
    <cellStyle name="20% - Accent4 8 2 5 5" xfId="25730" xr:uid="{00000000-0005-0000-0000-00009C0E0000}"/>
    <cellStyle name="20% - Accent4 8 2 5 6" xfId="28441" xr:uid="{00000000-0005-0000-0000-00009D0E0000}"/>
    <cellStyle name="20% - Accent4 8 2 6" xfId="6101" xr:uid="{00000000-0005-0000-0000-00009E0E0000}"/>
    <cellStyle name="20% - Accent4 8 2 6 2" xfId="9059" xr:uid="{00000000-0005-0000-0000-00009F0E0000}"/>
    <cellStyle name="20% - Accent4 8 2 6 2 2" xfId="25736" xr:uid="{00000000-0005-0000-0000-0000A00E0000}"/>
    <cellStyle name="20% - Accent4 8 2 6 3" xfId="25735" xr:uid="{00000000-0005-0000-0000-0000A10E0000}"/>
    <cellStyle name="20% - Accent4 8 2 6 4" xfId="28444" xr:uid="{00000000-0005-0000-0000-0000A20E0000}"/>
    <cellStyle name="20% - Accent4 8 2 7" xfId="9060" xr:uid="{00000000-0005-0000-0000-0000A30E0000}"/>
    <cellStyle name="20% - Accent4 8 2 7 2" xfId="25737" xr:uid="{00000000-0005-0000-0000-0000A40E0000}"/>
    <cellStyle name="20% - Accent4 8 2 7 3" xfId="28445" xr:uid="{00000000-0005-0000-0000-0000A50E0000}"/>
    <cellStyle name="20% - Accent4 8 2 8" xfId="9051" xr:uid="{00000000-0005-0000-0000-0000A60E0000}"/>
    <cellStyle name="20% - Accent4 8 2 8 2" xfId="25738" xr:uid="{00000000-0005-0000-0000-0000A70E0000}"/>
    <cellStyle name="20% - Accent4 8 2 9" xfId="24910" xr:uid="{00000000-0005-0000-0000-0000A80E0000}"/>
    <cellStyle name="20% - Accent4 8 3" xfId="3834" xr:uid="{00000000-0005-0000-0000-0000A90E0000}"/>
    <cellStyle name="20% - Accent4 8 3 2" xfId="5351" xr:uid="{00000000-0005-0000-0000-0000AA0E0000}"/>
    <cellStyle name="20% - Accent4 8 3 2 2" xfId="6110" xr:uid="{00000000-0005-0000-0000-0000AB0E0000}"/>
    <cellStyle name="20% - Accent4 8 3 2 2 2" xfId="25741" xr:uid="{00000000-0005-0000-0000-0000AC0E0000}"/>
    <cellStyle name="20% - Accent4 8 3 2 3" xfId="9062" xr:uid="{00000000-0005-0000-0000-0000AD0E0000}"/>
    <cellStyle name="20% - Accent4 8 3 2 4" xfId="25740" xr:uid="{00000000-0005-0000-0000-0000AE0E0000}"/>
    <cellStyle name="20% - Accent4 8 3 3" xfId="5661" xr:uid="{00000000-0005-0000-0000-0000AF0E0000}"/>
    <cellStyle name="20% - Accent4 8 3 3 2" xfId="6111" xr:uid="{00000000-0005-0000-0000-0000B00E0000}"/>
    <cellStyle name="20% - Accent4 8 3 3 2 2" xfId="25743" xr:uid="{00000000-0005-0000-0000-0000B10E0000}"/>
    <cellStyle name="20% - Accent4 8 3 3 3" xfId="25742" xr:uid="{00000000-0005-0000-0000-0000B20E0000}"/>
    <cellStyle name="20% - Accent4 8 3 4" xfId="4375" xr:uid="{00000000-0005-0000-0000-0000B30E0000}"/>
    <cellStyle name="20% - Accent4 8 3 4 2" xfId="6112" xr:uid="{00000000-0005-0000-0000-0000B40E0000}"/>
    <cellStyle name="20% - Accent4 8 3 4 2 2" xfId="25745" xr:uid="{00000000-0005-0000-0000-0000B50E0000}"/>
    <cellStyle name="20% - Accent4 8 3 4 3" xfId="25744" xr:uid="{00000000-0005-0000-0000-0000B60E0000}"/>
    <cellStyle name="20% - Accent4 8 3 5" xfId="6109" xr:uid="{00000000-0005-0000-0000-0000B70E0000}"/>
    <cellStyle name="20% - Accent4 8 3 5 2" xfId="25746" xr:uid="{00000000-0005-0000-0000-0000B80E0000}"/>
    <cellStyle name="20% - Accent4 8 3 6" xfId="9061" xr:uid="{00000000-0005-0000-0000-0000B90E0000}"/>
    <cellStyle name="20% - Accent4 8 3 6 2" xfId="25747" xr:uid="{00000000-0005-0000-0000-0000BA0E0000}"/>
    <cellStyle name="20% - Accent4 8 3 7" xfId="24970" xr:uid="{00000000-0005-0000-0000-0000BB0E0000}"/>
    <cellStyle name="20% - Accent4 8 3 8" xfId="25739" xr:uid="{00000000-0005-0000-0000-0000BC0E0000}"/>
    <cellStyle name="20% - Accent4 8 3 9" xfId="28446" xr:uid="{00000000-0005-0000-0000-0000BD0E0000}"/>
    <cellStyle name="20% - Accent4 8 4" xfId="5348" xr:uid="{00000000-0005-0000-0000-0000BE0E0000}"/>
    <cellStyle name="20% - Accent4 8 4 2" xfId="6113" xr:uid="{00000000-0005-0000-0000-0000BF0E0000}"/>
    <cellStyle name="20% - Accent4 8 4 2 2" xfId="25749" xr:uid="{00000000-0005-0000-0000-0000C00E0000}"/>
    <cellStyle name="20% - Accent4 8 4 3" xfId="9063" xr:uid="{00000000-0005-0000-0000-0000C10E0000}"/>
    <cellStyle name="20% - Accent4 8 4 4" xfId="25748" xr:uid="{00000000-0005-0000-0000-0000C20E0000}"/>
    <cellStyle name="20% - Accent4 8 5" xfId="5658" xr:uid="{00000000-0005-0000-0000-0000C30E0000}"/>
    <cellStyle name="20% - Accent4 8 5 2" xfId="6114" xr:uid="{00000000-0005-0000-0000-0000C40E0000}"/>
    <cellStyle name="20% - Accent4 8 5 2 2" xfId="25751" xr:uid="{00000000-0005-0000-0000-0000C50E0000}"/>
    <cellStyle name="20% - Accent4 8 5 3" xfId="9064" xr:uid="{00000000-0005-0000-0000-0000C60E0000}"/>
    <cellStyle name="20% - Accent4 8 5 4" xfId="25750" xr:uid="{00000000-0005-0000-0000-0000C70E0000}"/>
    <cellStyle name="20% - Accent4 8 6" xfId="4372" xr:uid="{00000000-0005-0000-0000-0000C80E0000}"/>
    <cellStyle name="20% - Accent4 8 6 2" xfId="6115" xr:uid="{00000000-0005-0000-0000-0000C90E0000}"/>
    <cellStyle name="20% - Accent4 8 6 2 2" xfId="9066" xr:uid="{00000000-0005-0000-0000-0000CA0E0000}"/>
    <cellStyle name="20% - Accent4 8 6 2 2 2" xfId="25754" xr:uid="{00000000-0005-0000-0000-0000CB0E0000}"/>
    <cellStyle name="20% - Accent4 8 6 2 3" xfId="25753" xr:uid="{00000000-0005-0000-0000-0000CC0E0000}"/>
    <cellStyle name="20% - Accent4 8 6 2 4" xfId="28448" xr:uid="{00000000-0005-0000-0000-0000CD0E0000}"/>
    <cellStyle name="20% - Accent4 8 6 3" xfId="9067" xr:uid="{00000000-0005-0000-0000-0000CE0E0000}"/>
    <cellStyle name="20% - Accent4 8 6 3 2" xfId="25755" xr:uid="{00000000-0005-0000-0000-0000CF0E0000}"/>
    <cellStyle name="20% - Accent4 8 6 3 3" xfId="28449" xr:uid="{00000000-0005-0000-0000-0000D00E0000}"/>
    <cellStyle name="20% - Accent4 8 6 4" xfId="9065" xr:uid="{00000000-0005-0000-0000-0000D10E0000}"/>
    <cellStyle name="20% - Accent4 8 6 4 2" xfId="25756" xr:uid="{00000000-0005-0000-0000-0000D20E0000}"/>
    <cellStyle name="20% - Accent4 8 6 5" xfId="25752" xr:uid="{00000000-0005-0000-0000-0000D30E0000}"/>
    <cellStyle name="20% - Accent4 8 6 6" xfId="28447" xr:uid="{00000000-0005-0000-0000-0000D40E0000}"/>
    <cellStyle name="20% - Accent4 8 7" xfId="6100" xr:uid="{00000000-0005-0000-0000-0000D50E0000}"/>
    <cellStyle name="20% - Accent4 8 7 2" xfId="9068" xr:uid="{00000000-0005-0000-0000-0000D60E0000}"/>
    <cellStyle name="20% - Accent4 8 7 2 2" xfId="25758" xr:uid="{00000000-0005-0000-0000-0000D70E0000}"/>
    <cellStyle name="20% - Accent4 8 7 3" xfId="25757" xr:uid="{00000000-0005-0000-0000-0000D80E0000}"/>
    <cellStyle name="20% - Accent4 8 7 4" xfId="28450" xr:uid="{00000000-0005-0000-0000-0000D90E0000}"/>
    <cellStyle name="20% - Accent4 8 8" xfId="9069" xr:uid="{00000000-0005-0000-0000-0000DA0E0000}"/>
    <cellStyle name="20% - Accent4 8 8 2" xfId="25759" xr:uid="{00000000-0005-0000-0000-0000DB0E0000}"/>
    <cellStyle name="20% - Accent4 8 8 3" xfId="28451" xr:uid="{00000000-0005-0000-0000-0000DC0E0000}"/>
    <cellStyle name="20% - Accent4 8 9" xfId="9050" xr:uid="{00000000-0005-0000-0000-0000DD0E0000}"/>
    <cellStyle name="20% - Accent4 8 9 2" xfId="25760" xr:uid="{00000000-0005-0000-0000-0000DE0E0000}"/>
    <cellStyle name="20% - Accent4 9" xfId="530" xr:uid="{00000000-0005-0000-0000-0000DF0E0000}"/>
    <cellStyle name="20% - Accent4 9 2" xfId="4376" xr:uid="{00000000-0005-0000-0000-0000E00E0000}"/>
    <cellStyle name="20% - Accent4 9 2 2" xfId="9071" xr:uid="{00000000-0005-0000-0000-0000E10E0000}"/>
    <cellStyle name="20% - Accent4 9 2 3" xfId="9072" xr:uid="{00000000-0005-0000-0000-0000E20E0000}"/>
    <cellStyle name="20% - Accent4 9 2 4" xfId="9070" xr:uid="{00000000-0005-0000-0000-0000E30E0000}"/>
    <cellStyle name="20% - Accent4 9 3" xfId="9073" xr:uid="{00000000-0005-0000-0000-0000E40E0000}"/>
    <cellStyle name="20% - Accent4 9 4" xfId="9074" xr:uid="{00000000-0005-0000-0000-0000E50E0000}"/>
    <cellStyle name="20% - Accent4 9 5" xfId="9075" xr:uid="{00000000-0005-0000-0000-0000E60E0000}"/>
    <cellStyle name="20% - Accent4 9 6" xfId="9076" xr:uid="{00000000-0005-0000-0000-0000E70E0000}"/>
    <cellStyle name="20% - Accent5" xfId="7111" builtinId="46" customBuiltin="1"/>
    <cellStyle name="20% - Accent5 10" xfId="656" xr:uid="{00000000-0005-0000-0000-0000E90E0000}"/>
    <cellStyle name="20% - Accent5 10 2" xfId="4377" xr:uid="{00000000-0005-0000-0000-0000EA0E0000}"/>
    <cellStyle name="20% - Accent5 10 2 2" xfId="9077" xr:uid="{00000000-0005-0000-0000-0000EB0E0000}"/>
    <cellStyle name="20% - Accent5 10 3" xfId="9078" xr:uid="{00000000-0005-0000-0000-0000EC0E0000}"/>
    <cellStyle name="20% - Accent5 10 4" xfId="9079" xr:uid="{00000000-0005-0000-0000-0000ED0E0000}"/>
    <cellStyle name="20% - Accent5 10 5" xfId="9080" xr:uid="{00000000-0005-0000-0000-0000EE0E0000}"/>
    <cellStyle name="20% - Accent5 11" xfId="657" xr:uid="{00000000-0005-0000-0000-0000EF0E0000}"/>
    <cellStyle name="20% - Accent5 11 2" xfId="4378" xr:uid="{00000000-0005-0000-0000-0000F00E0000}"/>
    <cellStyle name="20% - Accent5 11 2 2" xfId="9081" xr:uid="{00000000-0005-0000-0000-0000F10E0000}"/>
    <cellStyle name="20% - Accent5 11 3" xfId="9082" xr:uid="{00000000-0005-0000-0000-0000F20E0000}"/>
    <cellStyle name="20% - Accent5 11 4" xfId="9083" xr:uid="{00000000-0005-0000-0000-0000F30E0000}"/>
    <cellStyle name="20% - Accent5 11 5" xfId="9084" xr:uid="{00000000-0005-0000-0000-0000F40E0000}"/>
    <cellStyle name="20% - Accent5 12" xfId="810" xr:uid="{00000000-0005-0000-0000-0000F50E0000}"/>
    <cellStyle name="20% - Accent5 12 2" xfId="9086" xr:uid="{00000000-0005-0000-0000-0000F60E0000}"/>
    <cellStyle name="20% - Accent5 12 3" xfId="9087" xr:uid="{00000000-0005-0000-0000-0000F70E0000}"/>
    <cellStyle name="20% - Accent5 12 4" xfId="9085" xr:uid="{00000000-0005-0000-0000-0000F80E0000}"/>
    <cellStyle name="20% - Accent5 13" xfId="811" xr:uid="{00000000-0005-0000-0000-0000F90E0000}"/>
    <cellStyle name="20% - Accent5 13 2" xfId="3849" xr:uid="{00000000-0005-0000-0000-0000FA0E0000}"/>
    <cellStyle name="20% - Accent5 13 2 2" xfId="6117" xr:uid="{00000000-0005-0000-0000-0000FB0E0000}"/>
    <cellStyle name="20% - Accent5 13 2 2 2" xfId="25763" xr:uid="{00000000-0005-0000-0000-0000FC0E0000}"/>
    <cellStyle name="20% - Accent5 13 2 3" xfId="9089" xr:uid="{00000000-0005-0000-0000-0000FD0E0000}"/>
    <cellStyle name="20% - Accent5 13 2 4" xfId="24985" xr:uid="{00000000-0005-0000-0000-0000FE0E0000}"/>
    <cellStyle name="20% - Accent5 13 2 5" xfId="25762" xr:uid="{00000000-0005-0000-0000-0000FF0E0000}"/>
    <cellStyle name="20% - Accent5 13 3" xfId="6116" xr:uid="{00000000-0005-0000-0000-0000000F0000}"/>
    <cellStyle name="20% - Accent5 13 3 2" xfId="9090" xr:uid="{00000000-0005-0000-0000-0000010F0000}"/>
    <cellStyle name="20% - Accent5 13 3 3" xfId="25764" xr:uid="{00000000-0005-0000-0000-0000020F0000}"/>
    <cellStyle name="20% - Accent5 13 4" xfId="9088" xr:uid="{00000000-0005-0000-0000-0000030F0000}"/>
    <cellStyle name="20% - Accent5 13 5" xfId="24864" xr:uid="{00000000-0005-0000-0000-0000040F0000}"/>
    <cellStyle name="20% - Accent5 13 6" xfId="25761" xr:uid="{00000000-0005-0000-0000-0000050F0000}"/>
    <cellStyle name="20% - Accent5 14" xfId="929" xr:uid="{00000000-0005-0000-0000-0000060F0000}"/>
    <cellStyle name="20% - Accent5 14 2" xfId="9092" xr:uid="{00000000-0005-0000-0000-0000070F0000}"/>
    <cellStyle name="20% - Accent5 14 3" xfId="9093" xr:uid="{00000000-0005-0000-0000-0000080F0000}"/>
    <cellStyle name="20% - Accent5 14 4" xfId="9091" xr:uid="{00000000-0005-0000-0000-0000090F0000}"/>
    <cellStyle name="20% - Accent5 15" xfId="9094" xr:uid="{00000000-0005-0000-0000-00000A0F0000}"/>
    <cellStyle name="20% - Accent5 15 2" xfId="9095" xr:uid="{00000000-0005-0000-0000-00000B0F0000}"/>
    <cellStyle name="20% - Accent5 15 3" xfId="9096" xr:uid="{00000000-0005-0000-0000-00000C0F0000}"/>
    <cellStyle name="20% - Accent5 16" xfId="9097" xr:uid="{00000000-0005-0000-0000-00000D0F0000}"/>
    <cellStyle name="20% - Accent5 16 2" xfId="9098" xr:uid="{00000000-0005-0000-0000-00000E0F0000}"/>
    <cellStyle name="20% - Accent5 16 3" xfId="9099" xr:uid="{00000000-0005-0000-0000-00000F0F0000}"/>
    <cellStyle name="20% - Accent5 17" xfId="9100" xr:uid="{00000000-0005-0000-0000-0000100F0000}"/>
    <cellStyle name="20% - Accent5 17 2" xfId="9101" xr:uid="{00000000-0005-0000-0000-0000110F0000}"/>
    <cellStyle name="20% - Accent5 17 3" xfId="9102" xr:uid="{00000000-0005-0000-0000-0000120F0000}"/>
    <cellStyle name="20% - Accent5 18" xfId="9103" xr:uid="{00000000-0005-0000-0000-0000130F0000}"/>
    <cellStyle name="20% - Accent5 18 2" xfId="9104" xr:uid="{00000000-0005-0000-0000-0000140F0000}"/>
    <cellStyle name="20% - Accent5 18 3" xfId="9105" xr:uid="{00000000-0005-0000-0000-0000150F0000}"/>
    <cellStyle name="20% - Accent5 19" xfId="9106" xr:uid="{00000000-0005-0000-0000-0000160F0000}"/>
    <cellStyle name="20% - Accent5 19 2" xfId="9107" xr:uid="{00000000-0005-0000-0000-0000170F0000}"/>
    <cellStyle name="20% - Accent5 2" xfId="72" xr:uid="{00000000-0005-0000-0000-0000180F0000}"/>
    <cellStyle name="20% - Accent5 2 10" xfId="1671" xr:uid="{00000000-0005-0000-0000-0000190F0000}"/>
    <cellStyle name="20% - Accent5 2 10 2" xfId="4379" xr:uid="{00000000-0005-0000-0000-00001A0F0000}"/>
    <cellStyle name="20% - Accent5 2 10 2 2" xfId="9108" xr:uid="{00000000-0005-0000-0000-00001B0F0000}"/>
    <cellStyle name="20% - Accent5 2 10 3" xfId="9109" xr:uid="{00000000-0005-0000-0000-00001C0F0000}"/>
    <cellStyle name="20% - Accent5 2 10 4" xfId="9110" xr:uid="{00000000-0005-0000-0000-00001D0F0000}"/>
    <cellStyle name="20% - Accent5 2 10 5" xfId="9111" xr:uid="{00000000-0005-0000-0000-00001E0F0000}"/>
    <cellStyle name="20% - Accent5 2 11" xfId="1923" xr:uid="{00000000-0005-0000-0000-00001F0F0000}"/>
    <cellStyle name="20% - Accent5 2 11 2" xfId="4380" xr:uid="{00000000-0005-0000-0000-0000200F0000}"/>
    <cellStyle name="20% - Accent5 2 11 2 2" xfId="9112" xr:uid="{00000000-0005-0000-0000-0000210F0000}"/>
    <cellStyle name="20% - Accent5 2 11 3" xfId="9113" xr:uid="{00000000-0005-0000-0000-0000220F0000}"/>
    <cellStyle name="20% - Accent5 2 11 4" xfId="9114" xr:uid="{00000000-0005-0000-0000-0000230F0000}"/>
    <cellStyle name="20% - Accent5 2 11 5" xfId="9115" xr:uid="{00000000-0005-0000-0000-0000240F0000}"/>
    <cellStyle name="20% - Accent5 2 12" xfId="2342" xr:uid="{00000000-0005-0000-0000-0000250F0000}"/>
    <cellStyle name="20% - Accent5 2 12 2" xfId="4381" xr:uid="{00000000-0005-0000-0000-0000260F0000}"/>
    <cellStyle name="20% - Accent5 2 12 2 2" xfId="9116" xr:uid="{00000000-0005-0000-0000-0000270F0000}"/>
    <cellStyle name="20% - Accent5 2 12 3" xfId="9117" xr:uid="{00000000-0005-0000-0000-0000280F0000}"/>
    <cellStyle name="20% - Accent5 2 12 4" xfId="9118" xr:uid="{00000000-0005-0000-0000-0000290F0000}"/>
    <cellStyle name="20% - Accent5 2 12 5" xfId="9119" xr:uid="{00000000-0005-0000-0000-00002A0F0000}"/>
    <cellStyle name="20% - Accent5 2 13" xfId="2715" xr:uid="{00000000-0005-0000-0000-00002B0F0000}"/>
    <cellStyle name="20% - Accent5 2 13 2" xfId="4382" xr:uid="{00000000-0005-0000-0000-00002C0F0000}"/>
    <cellStyle name="20% - Accent5 2 13 2 2" xfId="9120" xr:uid="{00000000-0005-0000-0000-00002D0F0000}"/>
    <cellStyle name="20% - Accent5 2 13 3" xfId="9121" xr:uid="{00000000-0005-0000-0000-00002E0F0000}"/>
    <cellStyle name="20% - Accent5 2 13 4" xfId="9122" xr:uid="{00000000-0005-0000-0000-00002F0F0000}"/>
    <cellStyle name="20% - Accent5 2 13 5" xfId="9123" xr:uid="{00000000-0005-0000-0000-0000300F0000}"/>
    <cellStyle name="20% - Accent5 2 14" xfId="3044" xr:uid="{00000000-0005-0000-0000-0000310F0000}"/>
    <cellStyle name="20% - Accent5 2 14 2" xfId="4383" xr:uid="{00000000-0005-0000-0000-0000320F0000}"/>
    <cellStyle name="20% - Accent5 2 14 2 2" xfId="9124" xr:uid="{00000000-0005-0000-0000-0000330F0000}"/>
    <cellStyle name="20% - Accent5 2 14 3" xfId="9125" xr:uid="{00000000-0005-0000-0000-0000340F0000}"/>
    <cellStyle name="20% - Accent5 2 14 4" xfId="9126" xr:uid="{00000000-0005-0000-0000-0000350F0000}"/>
    <cellStyle name="20% - Accent5 2 14 5" xfId="9127" xr:uid="{00000000-0005-0000-0000-0000360F0000}"/>
    <cellStyle name="20% - Accent5 2 15" xfId="3415" xr:uid="{00000000-0005-0000-0000-0000370F0000}"/>
    <cellStyle name="20% - Accent5 2 15 2" xfId="4384" xr:uid="{00000000-0005-0000-0000-0000380F0000}"/>
    <cellStyle name="20% - Accent5 2 15 2 2" xfId="9128" xr:uid="{00000000-0005-0000-0000-0000390F0000}"/>
    <cellStyle name="20% - Accent5 2 15 3" xfId="9129" xr:uid="{00000000-0005-0000-0000-00003A0F0000}"/>
    <cellStyle name="20% - Accent5 2 16" xfId="3636" xr:uid="{00000000-0005-0000-0000-00003B0F0000}"/>
    <cellStyle name="20% - Accent5 2 16 2" xfId="4385" xr:uid="{00000000-0005-0000-0000-00003C0F0000}"/>
    <cellStyle name="20% - Accent5 2 16 2 2" xfId="9130" xr:uid="{00000000-0005-0000-0000-00003D0F0000}"/>
    <cellStyle name="20% - Accent5 2 16 3" xfId="9131" xr:uid="{00000000-0005-0000-0000-00003E0F0000}"/>
    <cellStyle name="20% - Accent5 2 17" xfId="24471" xr:uid="{00000000-0005-0000-0000-00003F0F0000}"/>
    <cellStyle name="20% - Accent5 2 2" xfId="116" xr:uid="{00000000-0005-0000-0000-0000400F0000}"/>
    <cellStyle name="20% - Accent5 2 2 10" xfId="9132" xr:uid="{00000000-0005-0000-0000-0000410F0000}"/>
    <cellStyle name="20% - Accent5 2 2 10 2" xfId="9133" xr:uid="{00000000-0005-0000-0000-0000420F0000}"/>
    <cellStyle name="20% - Accent5 2 2 10 3" xfId="9134" xr:uid="{00000000-0005-0000-0000-0000430F0000}"/>
    <cellStyle name="20% - Accent5 2 2 11" xfId="9135" xr:uid="{00000000-0005-0000-0000-0000440F0000}"/>
    <cellStyle name="20% - Accent5 2 2 11 2" xfId="9136" xr:uid="{00000000-0005-0000-0000-0000450F0000}"/>
    <cellStyle name="20% - Accent5 2 2 11 3" xfId="9137" xr:uid="{00000000-0005-0000-0000-0000460F0000}"/>
    <cellStyle name="20% - Accent5 2 2 12" xfId="9138" xr:uid="{00000000-0005-0000-0000-0000470F0000}"/>
    <cellStyle name="20% - Accent5 2 2 12 2" xfId="9139" xr:uid="{00000000-0005-0000-0000-0000480F0000}"/>
    <cellStyle name="20% - Accent5 2 2 12 3" xfId="9140" xr:uid="{00000000-0005-0000-0000-0000490F0000}"/>
    <cellStyle name="20% - Accent5 2 2 13" xfId="9141" xr:uid="{00000000-0005-0000-0000-00004A0F0000}"/>
    <cellStyle name="20% - Accent5 2 2 14" xfId="9142" xr:uid="{00000000-0005-0000-0000-00004B0F0000}"/>
    <cellStyle name="20% - Accent5 2 2 15" xfId="9143" xr:uid="{00000000-0005-0000-0000-00004C0F0000}"/>
    <cellStyle name="20% - Accent5 2 2 2" xfId="187" xr:uid="{00000000-0005-0000-0000-00004D0F0000}"/>
    <cellStyle name="20% - Accent5 2 2 2 2" xfId="9144" xr:uid="{00000000-0005-0000-0000-00004E0F0000}"/>
    <cellStyle name="20% - Accent5 2 2 2 3" xfId="9145" xr:uid="{00000000-0005-0000-0000-00004F0F0000}"/>
    <cellStyle name="20% - Accent5 2 2 3" xfId="351" xr:uid="{00000000-0005-0000-0000-0000500F0000}"/>
    <cellStyle name="20% - Accent5 2 2 3 2" xfId="9146" xr:uid="{00000000-0005-0000-0000-0000510F0000}"/>
    <cellStyle name="20% - Accent5 2 2 3 3" xfId="9147" xr:uid="{00000000-0005-0000-0000-0000520F0000}"/>
    <cellStyle name="20% - Accent5 2 2 4" xfId="2173" xr:uid="{00000000-0005-0000-0000-0000530F0000}"/>
    <cellStyle name="20% - Accent5 2 2 4 2" xfId="9148" xr:uid="{00000000-0005-0000-0000-0000540F0000}"/>
    <cellStyle name="20% - Accent5 2 2 4 3" xfId="9149" xr:uid="{00000000-0005-0000-0000-0000550F0000}"/>
    <cellStyle name="20% - Accent5 2 2 5" xfId="2547" xr:uid="{00000000-0005-0000-0000-0000560F0000}"/>
    <cellStyle name="20% - Accent5 2 2 5 2" xfId="9150" xr:uid="{00000000-0005-0000-0000-0000570F0000}"/>
    <cellStyle name="20% - Accent5 2 2 5 3" xfId="9151" xr:uid="{00000000-0005-0000-0000-0000580F0000}"/>
    <cellStyle name="20% - Accent5 2 2 6" xfId="2919" xr:uid="{00000000-0005-0000-0000-0000590F0000}"/>
    <cellStyle name="20% - Accent5 2 2 6 2" xfId="9152" xr:uid="{00000000-0005-0000-0000-00005A0F0000}"/>
    <cellStyle name="20% - Accent5 2 2 6 3" xfId="9153" xr:uid="{00000000-0005-0000-0000-00005B0F0000}"/>
    <cellStyle name="20% - Accent5 2 2 7" xfId="3291" xr:uid="{00000000-0005-0000-0000-00005C0F0000}"/>
    <cellStyle name="20% - Accent5 2 2 7 2" xfId="9154" xr:uid="{00000000-0005-0000-0000-00005D0F0000}"/>
    <cellStyle name="20% - Accent5 2 2 7 3" xfId="9155" xr:uid="{00000000-0005-0000-0000-00005E0F0000}"/>
    <cellStyle name="20% - Accent5 2 2 8" xfId="4386" xr:uid="{00000000-0005-0000-0000-00005F0F0000}"/>
    <cellStyle name="20% - Accent5 2 2 8 2" xfId="9157" xr:uid="{00000000-0005-0000-0000-0000600F0000}"/>
    <cellStyle name="20% - Accent5 2 2 8 3" xfId="9158" xr:uid="{00000000-0005-0000-0000-0000610F0000}"/>
    <cellStyle name="20% - Accent5 2 2 8 4" xfId="9156" xr:uid="{00000000-0005-0000-0000-0000620F0000}"/>
    <cellStyle name="20% - Accent5 2 2 9" xfId="9159" xr:uid="{00000000-0005-0000-0000-0000630F0000}"/>
    <cellStyle name="20% - Accent5 2 2 9 2" xfId="9160" xr:uid="{00000000-0005-0000-0000-0000640F0000}"/>
    <cellStyle name="20% - Accent5 2 2 9 3" xfId="9161" xr:uid="{00000000-0005-0000-0000-0000650F0000}"/>
    <cellStyle name="20% - Accent5 2 3" xfId="281" xr:uid="{00000000-0005-0000-0000-0000660F0000}"/>
    <cellStyle name="20% - Accent5 2 3 2" xfId="1349" xr:uid="{00000000-0005-0000-0000-0000670F0000}"/>
    <cellStyle name="20% - Accent5 2 3 2 2" xfId="9162" xr:uid="{00000000-0005-0000-0000-0000680F0000}"/>
    <cellStyle name="20% - Accent5 2 3 2 3" xfId="9163" xr:uid="{00000000-0005-0000-0000-0000690F0000}"/>
    <cellStyle name="20% - Accent5 2 3 3" xfId="9164" xr:uid="{00000000-0005-0000-0000-00006A0F0000}"/>
    <cellStyle name="20% - Accent5 2 3 4" xfId="9165" xr:uid="{00000000-0005-0000-0000-00006B0F0000}"/>
    <cellStyle name="20% - Accent5 2 4" xfId="374" xr:uid="{00000000-0005-0000-0000-00006C0F0000}"/>
    <cellStyle name="20% - Accent5 2 4 2" xfId="9166" xr:uid="{00000000-0005-0000-0000-00006D0F0000}"/>
    <cellStyle name="20% - Accent5 2 4 2 2" xfId="9167" xr:uid="{00000000-0005-0000-0000-00006E0F0000}"/>
    <cellStyle name="20% - Accent5 2 4 2 3" xfId="9168" xr:uid="{00000000-0005-0000-0000-00006F0F0000}"/>
    <cellStyle name="20% - Accent5 2 4 3" xfId="9169" xr:uid="{00000000-0005-0000-0000-0000700F0000}"/>
    <cellStyle name="20% - Accent5 2 4 4" xfId="9170" xr:uid="{00000000-0005-0000-0000-0000710F0000}"/>
    <cellStyle name="20% - Accent5 2 5" xfId="531" xr:uid="{00000000-0005-0000-0000-0000720F0000}"/>
    <cellStyle name="20% - Accent5 2 5 2" xfId="9171" xr:uid="{00000000-0005-0000-0000-0000730F0000}"/>
    <cellStyle name="20% - Accent5 2 5 3" xfId="9172" xr:uid="{00000000-0005-0000-0000-0000740F0000}"/>
    <cellStyle name="20% - Accent5 2 6" xfId="658" xr:uid="{00000000-0005-0000-0000-0000750F0000}"/>
    <cellStyle name="20% - Accent5 2 6 2" xfId="9173" xr:uid="{00000000-0005-0000-0000-0000760F0000}"/>
    <cellStyle name="20% - Accent5 2 6 3" xfId="9174" xr:uid="{00000000-0005-0000-0000-0000770F0000}"/>
    <cellStyle name="20% - Accent5 2 7" xfId="659" xr:uid="{00000000-0005-0000-0000-0000780F0000}"/>
    <cellStyle name="20% - Accent5 2 7 2" xfId="9175" xr:uid="{00000000-0005-0000-0000-0000790F0000}"/>
    <cellStyle name="20% - Accent5 2 7 3" xfId="9176" xr:uid="{00000000-0005-0000-0000-00007A0F0000}"/>
    <cellStyle name="20% - Accent5 2 8" xfId="812" xr:uid="{00000000-0005-0000-0000-00007B0F0000}"/>
    <cellStyle name="20% - Accent5 2 8 2" xfId="1400" xr:uid="{00000000-0005-0000-0000-00007C0F0000}"/>
    <cellStyle name="20% - Accent5 2 8 2 2" xfId="9177" xr:uid="{00000000-0005-0000-0000-00007D0F0000}"/>
    <cellStyle name="20% - Accent5 2 8 3" xfId="9178" xr:uid="{00000000-0005-0000-0000-00007E0F0000}"/>
    <cellStyle name="20% - Accent5 2 8 4" xfId="9179" xr:uid="{00000000-0005-0000-0000-00007F0F0000}"/>
    <cellStyle name="20% - Accent5 2 8 5" xfId="9180" xr:uid="{00000000-0005-0000-0000-0000800F0000}"/>
    <cellStyle name="20% - Accent5 2 9" xfId="930" xr:uid="{00000000-0005-0000-0000-0000810F0000}"/>
    <cellStyle name="20% - Accent5 2 9 2" xfId="1440" xr:uid="{00000000-0005-0000-0000-0000820F0000}"/>
    <cellStyle name="20% - Accent5 2 9 2 2" xfId="9181" xr:uid="{00000000-0005-0000-0000-0000830F0000}"/>
    <cellStyle name="20% - Accent5 2 9 3" xfId="9182" xr:uid="{00000000-0005-0000-0000-0000840F0000}"/>
    <cellStyle name="20% - Accent5 2 9 4" xfId="9183" xr:uid="{00000000-0005-0000-0000-0000850F0000}"/>
    <cellStyle name="20% - Accent5 2 9 5" xfId="9184" xr:uid="{00000000-0005-0000-0000-0000860F0000}"/>
    <cellStyle name="20% - Accent5 20" xfId="9185" xr:uid="{00000000-0005-0000-0000-0000870F0000}"/>
    <cellStyle name="20% - Accent5 21" xfId="9186" xr:uid="{00000000-0005-0000-0000-0000880F0000}"/>
    <cellStyle name="20% - Accent5 21 2" xfId="9187" xr:uid="{00000000-0005-0000-0000-0000890F0000}"/>
    <cellStyle name="20% - Accent5 21 2 2" xfId="9188" xr:uid="{00000000-0005-0000-0000-00008A0F0000}"/>
    <cellStyle name="20% - Accent5 21 2 2 2" xfId="25767" xr:uid="{00000000-0005-0000-0000-00008B0F0000}"/>
    <cellStyle name="20% - Accent5 21 2 2 3" xfId="28454" xr:uid="{00000000-0005-0000-0000-00008C0F0000}"/>
    <cellStyle name="20% - Accent5 21 2 3" xfId="9189" xr:uid="{00000000-0005-0000-0000-00008D0F0000}"/>
    <cellStyle name="20% - Accent5 21 2 3 2" xfId="25768" xr:uid="{00000000-0005-0000-0000-00008E0F0000}"/>
    <cellStyle name="20% - Accent5 21 2 3 3" xfId="28455" xr:uid="{00000000-0005-0000-0000-00008F0F0000}"/>
    <cellStyle name="20% - Accent5 21 2 4" xfId="25766" xr:uid="{00000000-0005-0000-0000-0000900F0000}"/>
    <cellStyle name="20% - Accent5 21 2 5" xfId="28453" xr:uid="{00000000-0005-0000-0000-0000910F0000}"/>
    <cellStyle name="20% - Accent5 21 3" xfId="9190" xr:uid="{00000000-0005-0000-0000-0000920F0000}"/>
    <cellStyle name="20% - Accent5 21 3 2" xfId="25769" xr:uid="{00000000-0005-0000-0000-0000930F0000}"/>
    <cellStyle name="20% - Accent5 21 3 3" xfId="28456" xr:uid="{00000000-0005-0000-0000-0000940F0000}"/>
    <cellStyle name="20% - Accent5 21 4" xfId="9191" xr:uid="{00000000-0005-0000-0000-0000950F0000}"/>
    <cellStyle name="20% - Accent5 21 4 2" xfId="25770" xr:uid="{00000000-0005-0000-0000-0000960F0000}"/>
    <cellStyle name="20% - Accent5 21 4 3" xfId="28457" xr:uid="{00000000-0005-0000-0000-0000970F0000}"/>
    <cellStyle name="20% - Accent5 21 5" xfId="25765" xr:uid="{00000000-0005-0000-0000-0000980F0000}"/>
    <cellStyle name="20% - Accent5 21 6" xfId="28452" xr:uid="{00000000-0005-0000-0000-0000990F0000}"/>
    <cellStyle name="20% - Accent5 22" xfId="9192" xr:uid="{00000000-0005-0000-0000-00009A0F0000}"/>
    <cellStyle name="20% - Accent5 22 2" xfId="9193" xr:uid="{00000000-0005-0000-0000-00009B0F0000}"/>
    <cellStyle name="20% - Accent5 22 2 2" xfId="9194" xr:uid="{00000000-0005-0000-0000-00009C0F0000}"/>
    <cellStyle name="20% - Accent5 22 2 2 2" xfId="25773" xr:uid="{00000000-0005-0000-0000-00009D0F0000}"/>
    <cellStyle name="20% - Accent5 22 2 2 3" xfId="28460" xr:uid="{00000000-0005-0000-0000-00009E0F0000}"/>
    <cellStyle name="20% - Accent5 22 2 3" xfId="9195" xr:uid="{00000000-0005-0000-0000-00009F0F0000}"/>
    <cellStyle name="20% - Accent5 22 2 3 2" xfId="25774" xr:uid="{00000000-0005-0000-0000-0000A00F0000}"/>
    <cellStyle name="20% - Accent5 22 2 3 3" xfId="28461" xr:uid="{00000000-0005-0000-0000-0000A10F0000}"/>
    <cellStyle name="20% - Accent5 22 2 4" xfId="25772" xr:uid="{00000000-0005-0000-0000-0000A20F0000}"/>
    <cellStyle name="20% - Accent5 22 2 5" xfId="28459" xr:uid="{00000000-0005-0000-0000-0000A30F0000}"/>
    <cellStyle name="20% - Accent5 22 3" xfId="9196" xr:uid="{00000000-0005-0000-0000-0000A40F0000}"/>
    <cellStyle name="20% - Accent5 22 3 2" xfId="25775" xr:uid="{00000000-0005-0000-0000-0000A50F0000}"/>
    <cellStyle name="20% - Accent5 22 3 3" xfId="28462" xr:uid="{00000000-0005-0000-0000-0000A60F0000}"/>
    <cellStyle name="20% - Accent5 22 4" xfId="9197" xr:uid="{00000000-0005-0000-0000-0000A70F0000}"/>
    <cellStyle name="20% - Accent5 22 4 2" xfId="25776" xr:uid="{00000000-0005-0000-0000-0000A80F0000}"/>
    <cellStyle name="20% - Accent5 22 4 3" xfId="28463" xr:uid="{00000000-0005-0000-0000-0000A90F0000}"/>
    <cellStyle name="20% - Accent5 22 5" xfId="25771" xr:uid="{00000000-0005-0000-0000-0000AA0F0000}"/>
    <cellStyle name="20% - Accent5 22 6" xfId="28458" xr:uid="{00000000-0005-0000-0000-0000AB0F0000}"/>
    <cellStyle name="20% - Accent5 23" xfId="9198" xr:uid="{00000000-0005-0000-0000-0000AC0F0000}"/>
    <cellStyle name="20% - Accent5 24" xfId="9199" xr:uid="{00000000-0005-0000-0000-0000AD0F0000}"/>
    <cellStyle name="20% - Accent5 24 2" xfId="9200" xr:uid="{00000000-0005-0000-0000-0000AE0F0000}"/>
    <cellStyle name="20% - Accent5 24 2 2" xfId="9201" xr:uid="{00000000-0005-0000-0000-0000AF0F0000}"/>
    <cellStyle name="20% - Accent5 24 2 2 2" xfId="25779" xr:uid="{00000000-0005-0000-0000-0000B00F0000}"/>
    <cellStyle name="20% - Accent5 24 2 2 3" xfId="28466" xr:uid="{00000000-0005-0000-0000-0000B10F0000}"/>
    <cellStyle name="20% - Accent5 24 2 3" xfId="9202" xr:uid="{00000000-0005-0000-0000-0000B20F0000}"/>
    <cellStyle name="20% - Accent5 24 2 3 2" xfId="25780" xr:uid="{00000000-0005-0000-0000-0000B30F0000}"/>
    <cellStyle name="20% - Accent5 24 2 3 3" xfId="28467" xr:uid="{00000000-0005-0000-0000-0000B40F0000}"/>
    <cellStyle name="20% - Accent5 24 2 4" xfId="25778" xr:uid="{00000000-0005-0000-0000-0000B50F0000}"/>
    <cellStyle name="20% - Accent5 24 2 5" xfId="28465" xr:uid="{00000000-0005-0000-0000-0000B60F0000}"/>
    <cellStyle name="20% - Accent5 24 3" xfId="9203" xr:uid="{00000000-0005-0000-0000-0000B70F0000}"/>
    <cellStyle name="20% - Accent5 24 3 2" xfId="25781" xr:uid="{00000000-0005-0000-0000-0000B80F0000}"/>
    <cellStyle name="20% - Accent5 24 3 3" xfId="28468" xr:uid="{00000000-0005-0000-0000-0000B90F0000}"/>
    <cellStyle name="20% - Accent5 24 4" xfId="9204" xr:uid="{00000000-0005-0000-0000-0000BA0F0000}"/>
    <cellStyle name="20% - Accent5 24 4 2" xfId="25782" xr:uid="{00000000-0005-0000-0000-0000BB0F0000}"/>
    <cellStyle name="20% - Accent5 24 4 3" xfId="28469" xr:uid="{00000000-0005-0000-0000-0000BC0F0000}"/>
    <cellStyle name="20% - Accent5 24 5" xfId="25777" xr:uid="{00000000-0005-0000-0000-0000BD0F0000}"/>
    <cellStyle name="20% - Accent5 24 6" xfId="28464" xr:uid="{00000000-0005-0000-0000-0000BE0F0000}"/>
    <cellStyle name="20% - Accent5 25" xfId="9205" xr:uid="{00000000-0005-0000-0000-0000BF0F0000}"/>
    <cellStyle name="20% - Accent5 25 2" xfId="9206" xr:uid="{00000000-0005-0000-0000-0000C00F0000}"/>
    <cellStyle name="20% - Accent5 25 2 2" xfId="9207" xr:uid="{00000000-0005-0000-0000-0000C10F0000}"/>
    <cellStyle name="20% - Accent5 25 2 2 2" xfId="25785" xr:uid="{00000000-0005-0000-0000-0000C20F0000}"/>
    <cellStyle name="20% - Accent5 25 2 2 3" xfId="28472" xr:uid="{00000000-0005-0000-0000-0000C30F0000}"/>
    <cellStyle name="20% - Accent5 25 2 3" xfId="9208" xr:uid="{00000000-0005-0000-0000-0000C40F0000}"/>
    <cellStyle name="20% - Accent5 25 2 3 2" xfId="25786" xr:uid="{00000000-0005-0000-0000-0000C50F0000}"/>
    <cellStyle name="20% - Accent5 25 2 3 3" xfId="28473" xr:uid="{00000000-0005-0000-0000-0000C60F0000}"/>
    <cellStyle name="20% - Accent5 25 2 4" xfId="25784" xr:uid="{00000000-0005-0000-0000-0000C70F0000}"/>
    <cellStyle name="20% - Accent5 25 2 5" xfId="28471" xr:uid="{00000000-0005-0000-0000-0000C80F0000}"/>
    <cellStyle name="20% - Accent5 25 3" xfId="9209" xr:uid="{00000000-0005-0000-0000-0000C90F0000}"/>
    <cellStyle name="20% - Accent5 25 3 2" xfId="25787" xr:uid="{00000000-0005-0000-0000-0000CA0F0000}"/>
    <cellStyle name="20% - Accent5 25 3 3" xfId="28474" xr:uid="{00000000-0005-0000-0000-0000CB0F0000}"/>
    <cellStyle name="20% - Accent5 25 4" xfId="9210" xr:uid="{00000000-0005-0000-0000-0000CC0F0000}"/>
    <cellStyle name="20% - Accent5 25 4 2" xfId="25788" xr:uid="{00000000-0005-0000-0000-0000CD0F0000}"/>
    <cellStyle name="20% - Accent5 25 4 3" xfId="28475" xr:uid="{00000000-0005-0000-0000-0000CE0F0000}"/>
    <cellStyle name="20% - Accent5 25 5" xfId="25783" xr:uid="{00000000-0005-0000-0000-0000CF0F0000}"/>
    <cellStyle name="20% - Accent5 25 6" xfId="28470" xr:uid="{00000000-0005-0000-0000-0000D00F0000}"/>
    <cellStyle name="20% - Accent5 26" xfId="9211" xr:uid="{00000000-0005-0000-0000-0000D10F0000}"/>
    <cellStyle name="20% - Accent5 27" xfId="9212" xr:uid="{00000000-0005-0000-0000-0000D20F0000}"/>
    <cellStyle name="20% - Accent5 27 2" xfId="9213" xr:uid="{00000000-0005-0000-0000-0000D30F0000}"/>
    <cellStyle name="20% - Accent5 27 2 2" xfId="9214" xr:uid="{00000000-0005-0000-0000-0000D40F0000}"/>
    <cellStyle name="20% - Accent5 27 2 2 2" xfId="25791" xr:uid="{00000000-0005-0000-0000-0000D50F0000}"/>
    <cellStyle name="20% - Accent5 27 2 2 3" xfId="28478" xr:uid="{00000000-0005-0000-0000-0000D60F0000}"/>
    <cellStyle name="20% - Accent5 27 2 3" xfId="9215" xr:uid="{00000000-0005-0000-0000-0000D70F0000}"/>
    <cellStyle name="20% - Accent5 27 2 3 2" xfId="25792" xr:uid="{00000000-0005-0000-0000-0000D80F0000}"/>
    <cellStyle name="20% - Accent5 27 2 3 3" xfId="28479" xr:uid="{00000000-0005-0000-0000-0000D90F0000}"/>
    <cellStyle name="20% - Accent5 27 2 4" xfId="25790" xr:uid="{00000000-0005-0000-0000-0000DA0F0000}"/>
    <cellStyle name="20% - Accent5 27 2 5" xfId="28477" xr:uid="{00000000-0005-0000-0000-0000DB0F0000}"/>
    <cellStyle name="20% - Accent5 27 3" xfId="9216" xr:uid="{00000000-0005-0000-0000-0000DC0F0000}"/>
    <cellStyle name="20% - Accent5 27 3 2" xfId="25793" xr:uid="{00000000-0005-0000-0000-0000DD0F0000}"/>
    <cellStyle name="20% - Accent5 27 3 3" xfId="28480" xr:uid="{00000000-0005-0000-0000-0000DE0F0000}"/>
    <cellStyle name="20% - Accent5 27 4" xfId="9217" xr:uid="{00000000-0005-0000-0000-0000DF0F0000}"/>
    <cellStyle name="20% - Accent5 27 4 2" xfId="25794" xr:uid="{00000000-0005-0000-0000-0000E00F0000}"/>
    <cellStyle name="20% - Accent5 27 4 3" xfId="28481" xr:uid="{00000000-0005-0000-0000-0000E10F0000}"/>
    <cellStyle name="20% - Accent5 27 5" xfId="25789" xr:uid="{00000000-0005-0000-0000-0000E20F0000}"/>
    <cellStyle name="20% - Accent5 27 6" xfId="28476" xr:uid="{00000000-0005-0000-0000-0000E30F0000}"/>
    <cellStyle name="20% - Accent5 28" xfId="9218" xr:uid="{00000000-0005-0000-0000-0000E40F0000}"/>
    <cellStyle name="20% - Accent5 28 2" xfId="9219" xr:uid="{00000000-0005-0000-0000-0000E50F0000}"/>
    <cellStyle name="20% - Accent5 28 2 2" xfId="25796" xr:uid="{00000000-0005-0000-0000-0000E60F0000}"/>
    <cellStyle name="20% - Accent5 28 2 3" xfId="28483" xr:uid="{00000000-0005-0000-0000-0000E70F0000}"/>
    <cellStyle name="20% - Accent5 28 3" xfId="9220" xr:uid="{00000000-0005-0000-0000-0000E80F0000}"/>
    <cellStyle name="20% - Accent5 28 3 2" xfId="25797" xr:uid="{00000000-0005-0000-0000-0000E90F0000}"/>
    <cellStyle name="20% - Accent5 28 3 3" xfId="28484" xr:uid="{00000000-0005-0000-0000-0000EA0F0000}"/>
    <cellStyle name="20% - Accent5 28 4" xfId="25795" xr:uid="{00000000-0005-0000-0000-0000EB0F0000}"/>
    <cellStyle name="20% - Accent5 28 5" xfId="28482" xr:uid="{00000000-0005-0000-0000-0000EC0F0000}"/>
    <cellStyle name="20% - Accent5 29" xfId="9221" xr:uid="{00000000-0005-0000-0000-0000ED0F0000}"/>
    <cellStyle name="20% - Accent5 29 2" xfId="25798" xr:uid="{00000000-0005-0000-0000-0000EE0F0000}"/>
    <cellStyle name="20% - Accent5 29 3" xfId="28485" xr:uid="{00000000-0005-0000-0000-0000EF0F0000}"/>
    <cellStyle name="20% - Accent5 3" xfId="228" xr:uid="{00000000-0005-0000-0000-0000F00F0000}"/>
    <cellStyle name="20% - Accent5 3 10" xfId="3679" xr:uid="{00000000-0005-0000-0000-0000F10F0000}"/>
    <cellStyle name="20% - Accent5 3 10 2" xfId="4387" xr:uid="{00000000-0005-0000-0000-0000F20F0000}"/>
    <cellStyle name="20% - Accent5 3 10 2 2" xfId="9222" xr:uid="{00000000-0005-0000-0000-0000F30F0000}"/>
    <cellStyle name="20% - Accent5 3 10 3" xfId="9223" xr:uid="{00000000-0005-0000-0000-0000F40F0000}"/>
    <cellStyle name="20% - Accent5 3 10 4" xfId="9224" xr:uid="{00000000-0005-0000-0000-0000F50F0000}"/>
    <cellStyle name="20% - Accent5 3 10 5" xfId="9225" xr:uid="{00000000-0005-0000-0000-0000F60F0000}"/>
    <cellStyle name="20% - Accent5 3 11" xfId="9226" xr:uid="{00000000-0005-0000-0000-0000F70F0000}"/>
    <cellStyle name="20% - Accent5 3 11 2" xfId="9227" xr:uid="{00000000-0005-0000-0000-0000F80F0000}"/>
    <cellStyle name="20% - Accent5 3 11 3" xfId="9228" xr:uid="{00000000-0005-0000-0000-0000F90F0000}"/>
    <cellStyle name="20% - Accent5 3 12" xfId="9229" xr:uid="{00000000-0005-0000-0000-0000FA0F0000}"/>
    <cellStyle name="20% - Accent5 3 12 2" xfId="9230" xr:uid="{00000000-0005-0000-0000-0000FB0F0000}"/>
    <cellStyle name="20% - Accent5 3 12 3" xfId="9231" xr:uid="{00000000-0005-0000-0000-0000FC0F0000}"/>
    <cellStyle name="20% - Accent5 3 13" xfId="9232" xr:uid="{00000000-0005-0000-0000-0000FD0F0000}"/>
    <cellStyle name="20% - Accent5 3 13 2" xfId="9233" xr:uid="{00000000-0005-0000-0000-0000FE0F0000}"/>
    <cellStyle name="20% - Accent5 3 13 3" xfId="9234" xr:uid="{00000000-0005-0000-0000-0000FF0F0000}"/>
    <cellStyle name="20% - Accent5 3 14" xfId="9235" xr:uid="{00000000-0005-0000-0000-000000100000}"/>
    <cellStyle name="20% - Accent5 3 15" xfId="9236" xr:uid="{00000000-0005-0000-0000-000001100000}"/>
    <cellStyle name="20% - Accent5 3 2" xfId="1452" xr:uid="{00000000-0005-0000-0000-000002100000}"/>
    <cellStyle name="20% - Accent5 3 2 10" xfId="9237" xr:uid="{00000000-0005-0000-0000-000003100000}"/>
    <cellStyle name="20% - Accent5 3 2 10 2" xfId="9238" xr:uid="{00000000-0005-0000-0000-000004100000}"/>
    <cellStyle name="20% - Accent5 3 2 10 3" xfId="9239" xr:uid="{00000000-0005-0000-0000-000005100000}"/>
    <cellStyle name="20% - Accent5 3 2 11" xfId="9240" xr:uid="{00000000-0005-0000-0000-000006100000}"/>
    <cellStyle name="20% - Accent5 3 2 11 2" xfId="9241" xr:uid="{00000000-0005-0000-0000-000007100000}"/>
    <cellStyle name="20% - Accent5 3 2 11 3" xfId="9242" xr:uid="{00000000-0005-0000-0000-000008100000}"/>
    <cellStyle name="20% - Accent5 3 2 12" xfId="9243" xr:uid="{00000000-0005-0000-0000-000009100000}"/>
    <cellStyle name="20% - Accent5 3 2 12 2" xfId="9244" xr:uid="{00000000-0005-0000-0000-00000A100000}"/>
    <cellStyle name="20% - Accent5 3 2 12 3" xfId="9245" xr:uid="{00000000-0005-0000-0000-00000B100000}"/>
    <cellStyle name="20% - Accent5 3 2 13" xfId="9246" xr:uid="{00000000-0005-0000-0000-00000C100000}"/>
    <cellStyle name="20% - Accent5 3 2 14" xfId="9247" xr:uid="{00000000-0005-0000-0000-00000D100000}"/>
    <cellStyle name="20% - Accent5 3 2 15" xfId="9248" xr:uid="{00000000-0005-0000-0000-00000E100000}"/>
    <cellStyle name="20% - Accent5 3 2 2" xfId="1839" xr:uid="{00000000-0005-0000-0000-00000F100000}"/>
    <cellStyle name="20% - Accent5 3 2 2 2" xfId="9249" xr:uid="{00000000-0005-0000-0000-000010100000}"/>
    <cellStyle name="20% - Accent5 3 2 2 3" xfId="9250" xr:uid="{00000000-0005-0000-0000-000011100000}"/>
    <cellStyle name="20% - Accent5 3 2 3" xfId="2214" xr:uid="{00000000-0005-0000-0000-000012100000}"/>
    <cellStyle name="20% - Accent5 3 2 3 2" xfId="9251" xr:uid="{00000000-0005-0000-0000-000013100000}"/>
    <cellStyle name="20% - Accent5 3 2 3 3" xfId="9252" xr:uid="{00000000-0005-0000-0000-000014100000}"/>
    <cellStyle name="20% - Accent5 3 2 4" xfId="2588" xr:uid="{00000000-0005-0000-0000-000015100000}"/>
    <cellStyle name="20% - Accent5 3 2 4 2" xfId="9253" xr:uid="{00000000-0005-0000-0000-000016100000}"/>
    <cellStyle name="20% - Accent5 3 2 4 3" xfId="9254" xr:uid="{00000000-0005-0000-0000-000017100000}"/>
    <cellStyle name="20% - Accent5 3 2 5" xfId="2960" xr:uid="{00000000-0005-0000-0000-000018100000}"/>
    <cellStyle name="20% - Accent5 3 2 5 2" xfId="9255" xr:uid="{00000000-0005-0000-0000-000019100000}"/>
    <cellStyle name="20% - Accent5 3 2 5 3" xfId="9256" xr:uid="{00000000-0005-0000-0000-00001A100000}"/>
    <cellStyle name="20% - Accent5 3 2 6" xfId="3332" xr:uid="{00000000-0005-0000-0000-00001B100000}"/>
    <cellStyle name="20% - Accent5 3 2 6 2" xfId="9257" xr:uid="{00000000-0005-0000-0000-00001C100000}"/>
    <cellStyle name="20% - Accent5 3 2 6 3" xfId="9258" xr:uid="{00000000-0005-0000-0000-00001D100000}"/>
    <cellStyle name="20% - Accent5 3 2 7" xfId="4388" xr:uid="{00000000-0005-0000-0000-00001E100000}"/>
    <cellStyle name="20% - Accent5 3 2 7 2" xfId="9260" xr:uid="{00000000-0005-0000-0000-00001F100000}"/>
    <cellStyle name="20% - Accent5 3 2 7 3" xfId="9261" xr:uid="{00000000-0005-0000-0000-000020100000}"/>
    <cellStyle name="20% - Accent5 3 2 7 4" xfId="9259" xr:uid="{00000000-0005-0000-0000-000021100000}"/>
    <cellStyle name="20% - Accent5 3 2 8" xfId="9262" xr:uid="{00000000-0005-0000-0000-000022100000}"/>
    <cellStyle name="20% - Accent5 3 2 8 2" xfId="9263" xr:uid="{00000000-0005-0000-0000-000023100000}"/>
    <cellStyle name="20% - Accent5 3 2 8 3" xfId="9264" xr:uid="{00000000-0005-0000-0000-000024100000}"/>
    <cellStyle name="20% - Accent5 3 2 9" xfId="9265" xr:uid="{00000000-0005-0000-0000-000025100000}"/>
    <cellStyle name="20% - Accent5 3 2 9 2" xfId="9266" xr:uid="{00000000-0005-0000-0000-000026100000}"/>
    <cellStyle name="20% - Accent5 3 2 9 3" xfId="9267" xr:uid="{00000000-0005-0000-0000-000027100000}"/>
    <cellStyle name="20% - Accent5 3 3" xfId="1579" xr:uid="{00000000-0005-0000-0000-000028100000}"/>
    <cellStyle name="20% - Accent5 3 3 2" xfId="1916" xr:uid="{00000000-0005-0000-0000-000029100000}"/>
    <cellStyle name="20% - Accent5 3 3 3" xfId="2291" xr:uid="{00000000-0005-0000-0000-00002A100000}"/>
    <cellStyle name="20% - Accent5 3 3 4" xfId="2664" xr:uid="{00000000-0005-0000-0000-00002B100000}"/>
    <cellStyle name="20% - Accent5 3 3 5" xfId="3037" xr:uid="{00000000-0005-0000-0000-00002C100000}"/>
    <cellStyle name="20% - Accent5 3 3 6" xfId="3408" xr:uid="{00000000-0005-0000-0000-00002D100000}"/>
    <cellStyle name="20% - Accent5 3 3 7" xfId="4389" xr:uid="{00000000-0005-0000-0000-00002E100000}"/>
    <cellStyle name="20% - Accent5 3 4" xfId="1716" xr:uid="{00000000-0005-0000-0000-00002F100000}"/>
    <cellStyle name="20% - Accent5 3 4 2" xfId="1960" xr:uid="{00000000-0005-0000-0000-000030100000}"/>
    <cellStyle name="20% - Accent5 3 4 3" xfId="2335" xr:uid="{00000000-0005-0000-0000-000031100000}"/>
    <cellStyle name="20% - Accent5 3 4 4" xfId="2708" xr:uid="{00000000-0005-0000-0000-000032100000}"/>
    <cellStyle name="20% - Accent5 3 4 5" xfId="3081" xr:uid="{00000000-0005-0000-0000-000033100000}"/>
    <cellStyle name="20% - Accent5 3 4 6" xfId="3452" xr:uid="{00000000-0005-0000-0000-000034100000}"/>
    <cellStyle name="20% - Accent5 3 5" xfId="2051" xr:uid="{00000000-0005-0000-0000-000035100000}"/>
    <cellStyle name="20% - Accent5 3 5 2" xfId="9268" xr:uid="{00000000-0005-0000-0000-000036100000}"/>
    <cellStyle name="20% - Accent5 3 5 3" xfId="9269" xr:uid="{00000000-0005-0000-0000-000037100000}"/>
    <cellStyle name="20% - Accent5 3 5 4" xfId="9270" xr:uid="{00000000-0005-0000-0000-000038100000}"/>
    <cellStyle name="20% - Accent5 3 6" xfId="2425" xr:uid="{00000000-0005-0000-0000-000039100000}"/>
    <cellStyle name="20% - Accent5 3 6 2" xfId="9271" xr:uid="{00000000-0005-0000-0000-00003A100000}"/>
    <cellStyle name="20% - Accent5 3 6 3" xfId="9272" xr:uid="{00000000-0005-0000-0000-00003B100000}"/>
    <cellStyle name="20% - Accent5 3 6 4" xfId="9273" xr:uid="{00000000-0005-0000-0000-00003C100000}"/>
    <cellStyle name="20% - Accent5 3 7" xfId="2797" xr:uid="{00000000-0005-0000-0000-00003D100000}"/>
    <cellStyle name="20% - Accent5 3 7 2" xfId="9274" xr:uid="{00000000-0005-0000-0000-00003E100000}"/>
    <cellStyle name="20% - Accent5 3 7 3" xfId="9275" xr:uid="{00000000-0005-0000-0000-00003F100000}"/>
    <cellStyle name="20% - Accent5 3 7 4" xfId="9276" xr:uid="{00000000-0005-0000-0000-000040100000}"/>
    <cellStyle name="20% - Accent5 3 8" xfId="3168" xr:uid="{00000000-0005-0000-0000-000041100000}"/>
    <cellStyle name="20% - Accent5 3 8 2" xfId="9277" xr:uid="{00000000-0005-0000-0000-000042100000}"/>
    <cellStyle name="20% - Accent5 3 8 3" xfId="9278" xr:uid="{00000000-0005-0000-0000-000043100000}"/>
    <cellStyle name="20% - Accent5 3 8 4" xfId="9279" xr:uid="{00000000-0005-0000-0000-000044100000}"/>
    <cellStyle name="20% - Accent5 3 9" xfId="3543" xr:uid="{00000000-0005-0000-0000-000045100000}"/>
    <cellStyle name="20% - Accent5 3 9 2" xfId="4390" xr:uid="{00000000-0005-0000-0000-000046100000}"/>
    <cellStyle name="20% - Accent5 3 9 2 2" xfId="9280" xr:uid="{00000000-0005-0000-0000-000047100000}"/>
    <cellStyle name="20% - Accent5 3 9 3" xfId="9281" xr:uid="{00000000-0005-0000-0000-000048100000}"/>
    <cellStyle name="20% - Accent5 3 9 4" xfId="9282" xr:uid="{00000000-0005-0000-0000-000049100000}"/>
    <cellStyle name="20% - Accent5 3 9 5" xfId="9283" xr:uid="{00000000-0005-0000-0000-00004A100000}"/>
    <cellStyle name="20% - Accent5 30" xfId="28146" xr:uid="{00000000-0005-0000-0000-00004B100000}"/>
    <cellStyle name="20% - Accent5 4" xfId="239" xr:uid="{00000000-0005-0000-0000-00004C100000}"/>
    <cellStyle name="20% - Accent5 4 10" xfId="3723" xr:uid="{00000000-0005-0000-0000-00004D100000}"/>
    <cellStyle name="20% - Accent5 4 10 2" xfId="4392" xr:uid="{00000000-0005-0000-0000-00004E100000}"/>
    <cellStyle name="20% - Accent5 4 10 2 2" xfId="9285" xr:uid="{00000000-0005-0000-0000-00004F100000}"/>
    <cellStyle name="20% - Accent5 4 10 3" xfId="9286" xr:uid="{00000000-0005-0000-0000-000050100000}"/>
    <cellStyle name="20% - Accent5 4 10 4" xfId="9287" xr:uid="{00000000-0005-0000-0000-000051100000}"/>
    <cellStyle name="20% - Accent5 4 10 5" xfId="9288" xr:uid="{00000000-0005-0000-0000-000052100000}"/>
    <cellStyle name="20% - Accent5 4 11" xfId="1310" xr:uid="{00000000-0005-0000-0000-000053100000}"/>
    <cellStyle name="20% - Accent5 4 11 10" xfId="25799" xr:uid="{00000000-0005-0000-0000-000054100000}"/>
    <cellStyle name="20% - Accent5 4 11 11" xfId="28487" xr:uid="{00000000-0005-0000-0000-000055100000}"/>
    <cellStyle name="20% - Accent5 4 11 2" xfId="4152" xr:uid="{00000000-0005-0000-0000-000056100000}"/>
    <cellStyle name="20% - Accent5 4 11 2 2" xfId="5354" xr:uid="{00000000-0005-0000-0000-000057100000}"/>
    <cellStyle name="20% - Accent5 4 11 2 2 2" xfId="6120" xr:uid="{00000000-0005-0000-0000-000058100000}"/>
    <cellStyle name="20% - Accent5 4 11 2 2 2 2" xfId="25802" xr:uid="{00000000-0005-0000-0000-000059100000}"/>
    <cellStyle name="20% - Accent5 4 11 2 2 3" xfId="9291" xr:uid="{00000000-0005-0000-0000-00005A100000}"/>
    <cellStyle name="20% - Accent5 4 11 2 2 4" xfId="25801" xr:uid="{00000000-0005-0000-0000-00005B100000}"/>
    <cellStyle name="20% - Accent5 4 11 2 3" xfId="5664" xr:uid="{00000000-0005-0000-0000-00005C100000}"/>
    <cellStyle name="20% - Accent5 4 11 2 3 2" xfId="6121" xr:uid="{00000000-0005-0000-0000-00005D100000}"/>
    <cellStyle name="20% - Accent5 4 11 2 3 2 2" xfId="25804" xr:uid="{00000000-0005-0000-0000-00005E100000}"/>
    <cellStyle name="20% - Accent5 4 11 2 3 3" xfId="25803" xr:uid="{00000000-0005-0000-0000-00005F100000}"/>
    <cellStyle name="20% - Accent5 4 11 2 4" xfId="4394" xr:uid="{00000000-0005-0000-0000-000060100000}"/>
    <cellStyle name="20% - Accent5 4 11 2 4 2" xfId="6122" xr:uid="{00000000-0005-0000-0000-000061100000}"/>
    <cellStyle name="20% - Accent5 4 11 2 4 2 2" xfId="25806" xr:uid="{00000000-0005-0000-0000-000062100000}"/>
    <cellStyle name="20% - Accent5 4 11 2 4 3" xfId="25805" xr:uid="{00000000-0005-0000-0000-000063100000}"/>
    <cellStyle name="20% - Accent5 4 11 2 5" xfId="6119" xr:uid="{00000000-0005-0000-0000-000064100000}"/>
    <cellStyle name="20% - Accent5 4 11 2 5 2" xfId="25807" xr:uid="{00000000-0005-0000-0000-000065100000}"/>
    <cellStyle name="20% - Accent5 4 11 2 6" xfId="9290" xr:uid="{00000000-0005-0000-0000-000066100000}"/>
    <cellStyle name="20% - Accent5 4 11 2 6 2" xfId="25808" xr:uid="{00000000-0005-0000-0000-000067100000}"/>
    <cellStyle name="20% - Accent5 4 11 2 7" xfId="25004" xr:uid="{00000000-0005-0000-0000-000068100000}"/>
    <cellStyle name="20% - Accent5 4 11 2 8" xfId="25800" xr:uid="{00000000-0005-0000-0000-000069100000}"/>
    <cellStyle name="20% - Accent5 4 11 2 9" xfId="28488" xr:uid="{00000000-0005-0000-0000-00006A100000}"/>
    <cellStyle name="20% - Accent5 4 11 3" xfId="5353" xr:uid="{00000000-0005-0000-0000-00006B100000}"/>
    <cellStyle name="20% - Accent5 4 11 3 2" xfId="6123" xr:uid="{00000000-0005-0000-0000-00006C100000}"/>
    <cellStyle name="20% - Accent5 4 11 3 2 2" xfId="25810" xr:uid="{00000000-0005-0000-0000-00006D100000}"/>
    <cellStyle name="20% - Accent5 4 11 3 3" xfId="9292" xr:uid="{00000000-0005-0000-0000-00006E100000}"/>
    <cellStyle name="20% - Accent5 4 11 3 4" xfId="25809" xr:uid="{00000000-0005-0000-0000-00006F100000}"/>
    <cellStyle name="20% - Accent5 4 11 4" xfId="5663" xr:uid="{00000000-0005-0000-0000-000070100000}"/>
    <cellStyle name="20% - Accent5 4 11 4 2" xfId="6124" xr:uid="{00000000-0005-0000-0000-000071100000}"/>
    <cellStyle name="20% - Accent5 4 11 4 2 2" xfId="25812" xr:uid="{00000000-0005-0000-0000-000072100000}"/>
    <cellStyle name="20% - Accent5 4 11 4 3" xfId="9293" xr:uid="{00000000-0005-0000-0000-000073100000}"/>
    <cellStyle name="20% - Accent5 4 11 4 4" xfId="25811" xr:uid="{00000000-0005-0000-0000-000074100000}"/>
    <cellStyle name="20% - Accent5 4 11 5" xfId="4393" xr:uid="{00000000-0005-0000-0000-000075100000}"/>
    <cellStyle name="20% - Accent5 4 11 5 2" xfId="6125" xr:uid="{00000000-0005-0000-0000-000076100000}"/>
    <cellStyle name="20% - Accent5 4 11 5 2 2" xfId="9295" xr:uid="{00000000-0005-0000-0000-000077100000}"/>
    <cellStyle name="20% - Accent5 4 11 5 2 2 2" xfId="25815" xr:uid="{00000000-0005-0000-0000-000078100000}"/>
    <cellStyle name="20% - Accent5 4 11 5 2 3" xfId="25814" xr:uid="{00000000-0005-0000-0000-000079100000}"/>
    <cellStyle name="20% - Accent5 4 11 5 2 4" xfId="28490" xr:uid="{00000000-0005-0000-0000-00007A100000}"/>
    <cellStyle name="20% - Accent5 4 11 5 3" xfId="9296" xr:uid="{00000000-0005-0000-0000-00007B100000}"/>
    <cellStyle name="20% - Accent5 4 11 5 3 2" xfId="25816" xr:uid="{00000000-0005-0000-0000-00007C100000}"/>
    <cellStyle name="20% - Accent5 4 11 5 3 3" xfId="28491" xr:uid="{00000000-0005-0000-0000-00007D100000}"/>
    <cellStyle name="20% - Accent5 4 11 5 4" xfId="9294" xr:uid="{00000000-0005-0000-0000-00007E100000}"/>
    <cellStyle name="20% - Accent5 4 11 5 4 2" xfId="25817" xr:uid="{00000000-0005-0000-0000-00007F100000}"/>
    <cellStyle name="20% - Accent5 4 11 5 5" xfId="25813" xr:uid="{00000000-0005-0000-0000-000080100000}"/>
    <cellStyle name="20% - Accent5 4 11 5 6" xfId="28489" xr:uid="{00000000-0005-0000-0000-000081100000}"/>
    <cellStyle name="20% - Accent5 4 11 6" xfId="6118" xr:uid="{00000000-0005-0000-0000-000082100000}"/>
    <cellStyle name="20% - Accent5 4 11 6 2" xfId="9297" xr:uid="{00000000-0005-0000-0000-000083100000}"/>
    <cellStyle name="20% - Accent5 4 11 6 2 2" xfId="25819" xr:uid="{00000000-0005-0000-0000-000084100000}"/>
    <cellStyle name="20% - Accent5 4 11 6 3" xfId="25818" xr:uid="{00000000-0005-0000-0000-000085100000}"/>
    <cellStyle name="20% - Accent5 4 11 6 4" xfId="28492" xr:uid="{00000000-0005-0000-0000-000086100000}"/>
    <cellStyle name="20% - Accent5 4 11 7" xfId="9298" xr:uid="{00000000-0005-0000-0000-000087100000}"/>
    <cellStyle name="20% - Accent5 4 11 7 2" xfId="25820" xr:uid="{00000000-0005-0000-0000-000088100000}"/>
    <cellStyle name="20% - Accent5 4 11 7 3" xfId="28493" xr:uid="{00000000-0005-0000-0000-000089100000}"/>
    <cellStyle name="20% - Accent5 4 11 8" xfId="9289" xr:uid="{00000000-0005-0000-0000-00008A100000}"/>
    <cellStyle name="20% - Accent5 4 11 8 2" xfId="25821" xr:uid="{00000000-0005-0000-0000-00008B100000}"/>
    <cellStyle name="20% - Accent5 4 11 9" xfId="24884" xr:uid="{00000000-0005-0000-0000-00008C100000}"/>
    <cellStyle name="20% - Accent5 4 12" xfId="4395" xr:uid="{00000000-0005-0000-0000-00008D100000}"/>
    <cellStyle name="20% - Accent5 4 12 2" xfId="5355" xr:uid="{00000000-0005-0000-0000-00008E100000}"/>
    <cellStyle name="20% - Accent5 4 12 2 2" xfId="6127" xr:uid="{00000000-0005-0000-0000-00008F100000}"/>
    <cellStyle name="20% - Accent5 4 12 2 2 2" xfId="25824" xr:uid="{00000000-0005-0000-0000-000090100000}"/>
    <cellStyle name="20% - Accent5 4 12 2 3" xfId="9300" xr:uid="{00000000-0005-0000-0000-000091100000}"/>
    <cellStyle name="20% - Accent5 4 12 2 4" xfId="25823" xr:uid="{00000000-0005-0000-0000-000092100000}"/>
    <cellStyle name="20% - Accent5 4 12 3" xfId="5665" xr:uid="{00000000-0005-0000-0000-000093100000}"/>
    <cellStyle name="20% - Accent5 4 12 3 2" xfId="6128" xr:uid="{00000000-0005-0000-0000-000094100000}"/>
    <cellStyle name="20% - Accent5 4 12 3 2 2" xfId="25826" xr:uid="{00000000-0005-0000-0000-000095100000}"/>
    <cellStyle name="20% - Accent5 4 12 3 3" xfId="9301" xr:uid="{00000000-0005-0000-0000-000096100000}"/>
    <cellStyle name="20% - Accent5 4 12 3 4" xfId="25825" xr:uid="{00000000-0005-0000-0000-000097100000}"/>
    <cellStyle name="20% - Accent5 4 12 4" xfId="6126" xr:uid="{00000000-0005-0000-0000-000098100000}"/>
    <cellStyle name="20% - Accent5 4 12 4 2" xfId="9302" xr:uid="{00000000-0005-0000-0000-000099100000}"/>
    <cellStyle name="20% - Accent5 4 12 4 3" xfId="25827" xr:uid="{00000000-0005-0000-0000-00009A100000}"/>
    <cellStyle name="20% - Accent5 4 12 5" xfId="9299" xr:uid="{00000000-0005-0000-0000-00009B100000}"/>
    <cellStyle name="20% - Accent5 4 12 5 2" xfId="25828" xr:uid="{00000000-0005-0000-0000-00009C100000}"/>
    <cellStyle name="20% - Accent5 4 12 6" xfId="25822" xr:uid="{00000000-0005-0000-0000-00009D100000}"/>
    <cellStyle name="20% - Accent5 4 12 7" xfId="28494" xr:uid="{00000000-0005-0000-0000-00009E100000}"/>
    <cellStyle name="20% - Accent5 4 13" xfId="5352" xr:uid="{00000000-0005-0000-0000-00009F100000}"/>
    <cellStyle name="20% - Accent5 4 13 2" xfId="6129" xr:uid="{00000000-0005-0000-0000-0000A0100000}"/>
    <cellStyle name="20% - Accent5 4 13 2 2" xfId="9304" xr:uid="{00000000-0005-0000-0000-0000A1100000}"/>
    <cellStyle name="20% - Accent5 4 13 2 3" xfId="25830" xr:uid="{00000000-0005-0000-0000-0000A2100000}"/>
    <cellStyle name="20% - Accent5 4 13 3" xfId="9305" xr:uid="{00000000-0005-0000-0000-0000A3100000}"/>
    <cellStyle name="20% - Accent5 4 13 4" xfId="9303" xr:uid="{00000000-0005-0000-0000-0000A4100000}"/>
    <cellStyle name="20% - Accent5 4 13 5" xfId="25829" xr:uid="{00000000-0005-0000-0000-0000A5100000}"/>
    <cellStyle name="20% - Accent5 4 14" xfId="5662" xr:uid="{00000000-0005-0000-0000-0000A6100000}"/>
    <cellStyle name="20% - Accent5 4 14 2" xfId="6130" xr:uid="{00000000-0005-0000-0000-0000A7100000}"/>
    <cellStyle name="20% - Accent5 4 14 2 2" xfId="25832" xr:uid="{00000000-0005-0000-0000-0000A8100000}"/>
    <cellStyle name="20% - Accent5 4 14 3" xfId="9306" xr:uid="{00000000-0005-0000-0000-0000A9100000}"/>
    <cellStyle name="20% - Accent5 4 14 4" xfId="25831" xr:uid="{00000000-0005-0000-0000-0000AA100000}"/>
    <cellStyle name="20% - Accent5 4 15" xfId="4391" xr:uid="{00000000-0005-0000-0000-0000AB100000}"/>
    <cellStyle name="20% - Accent5 4 15 2" xfId="6131" xr:uid="{00000000-0005-0000-0000-0000AC100000}"/>
    <cellStyle name="20% - Accent5 4 15 2 2" xfId="25834" xr:uid="{00000000-0005-0000-0000-0000AD100000}"/>
    <cellStyle name="20% - Accent5 4 15 3" xfId="9307" xr:uid="{00000000-0005-0000-0000-0000AE100000}"/>
    <cellStyle name="20% - Accent5 4 15 4" xfId="25833" xr:uid="{00000000-0005-0000-0000-0000AF100000}"/>
    <cellStyle name="20% - Accent5 4 16" xfId="9308" xr:uid="{00000000-0005-0000-0000-0000B0100000}"/>
    <cellStyle name="20% - Accent5 4 17" xfId="9309" xr:uid="{00000000-0005-0000-0000-0000B1100000}"/>
    <cellStyle name="20% - Accent5 4 17 2" xfId="9310" xr:uid="{00000000-0005-0000-0000-0000B2100000}"/>
    <cellStyle name="20% - Accent5 4 17 2 2" xfId="25836" xr:uid="{00000000-0005-0000-0000-0000B3100000}"/>
    <cellStyle name="20% - Accent5 4 17 2 3" xfId="28496" xr:uid="{00000000-0005-0000-0000-0000B4100000}"/>
    <cellStyle name="20% - Accent5 4 17 3" xfId="9311" xr:uid="{00000000-0005-0000-0000-0000B5100000}"/>
    <cellStyle name="20% - Accent5 4 17 3 2" xfId="25837" xr:uid="{00000000-0005-0000-0000-0000B6100000}"/>
    <cellStyle name="20% - Accent5 4 17 3 3" xfId="28497" xr:uid="{00000000-0005-0000-0000-0000B7100000}"/>
    <cellStyle name="20% - Accent5 4 17 4" xfId="25835" xr:uid="{00000000-0005-0000-0000-0000B8100000}"/>
    <cellStyle name="20% - Accent5 4 17 5" xfId="28495" xr:uid="{00000000-0005-0000-0000-0000B9100000}"/>
    <cellStyle name="20% - Accent5 4 18" xfId="9312" xr:uid="{00000000-0005-0000-0000-0000BA100000}"/>
    <cellStyle name="20% - Accent5 4 18 2" xfId="25838" xr:uid="{00000000-0005-0000-0000-0000BB100000}"/>
    <cellStyle name="20% - Accent5 4 18 3" xfId="28498" xr:uid="{00000000-0005-0000-0000-0000BC100000}"/>
    <cellStyle name="20% - Accent5 4 19" xfId="9313" xr:uid="{00000000-0005-0000-0000-0000BD100000}"/>
    <cellStyle name="20% - Accent5 4 19 2" xfId="25839" xr:uid="{00000000-0005-0000-0000-0000BE100000}"/>
    <cellStyle name="20% - Accent5 4 19 3" xfId="28499" xr:uid="{00000000-0005-0000-0000-0000BF100000}"/>
    <cellStyle name="20% - Accent5 4 2" xfId="1497" xr:uid="{00000000-0005-0000-0000-0000C0100000}"/>
    <cellStyle name="20% - Accent5 4 2 10" xfId="9314" xr:uid="{00000000-0005-0000-0000-0000C1100000}"/>
    <cellStyle name="20% - Accent5 4 2 10 2" xfId="9315" xr:uid="{00000000-0005-0000-0000-0000C2100000}"/>
    <cellStyle name="20% - Accent5 4 2 10 3" xfId="9316" xr:uid="{00000000-0005-0000-0000-0000C3100000}"/>
    <cellStyle name="20% - Accent5 4 2 11" xfId="9317" xr:uid="{00000000-0005-0000-0000-0000C4100000}"/>
    <cellStyle name="20% - Accent5 4 2 11 2" xfId="9318" xr:uid="{00000000-0005-0000-0000-0000C5100000}"/>
    <cellStyle name="20% - Accent5 4 2 11 3" xfId="9319" xr:uid="{00000000-0005-0000-0000-0000C6100000}"/>
    <cellStyle name="20% - Accent5 4 2 12" xfId="9320" xr:uid="{00000000-0005-0000-0000-0000C7100000}"/>
    <cellStyle name="20% - Accent5 4 2 12 2" xfId="9321" xr:uid="{00000000-0005-0000-0000-0000C8100000}"/>
    <cellStyle name="20% - Accent5 4 2 12 3" xfId="9322" xr:uid="{00000000-0005-0000-0000-0000C9100000}"/>
    <cellStyle name="20% - Accent5 4 2 13" xfId="9323" xr:uid="{00000000-0005-0000-0000-0000CA100000}"/>
    <cellStyle name="20% - Accent5 4 2 14" xfId="9324" xr:uid="{00000000-0005-0000-0000-0000CB100000}"/>
    <cellStyle name="20% - Accent5 4 2 15" xfId="9325" xr:uid="{00000000-0005-0000-0000-0000CC100000}"/>
    <cellStyle name="20% - Accent5 4 2 16" xfId="9326" xr:uid="{00000000-0005-0000-0000-0000CD100000}"/>
    <cellStyle name="20% - Accent5 4 2 2" xfId="4396" xr:uid="{00000000-0005-0000-0000-0000CE100000}"/>
    <cellStyle name="20% - Accent5 4 2 2 2" xfId="9328" xr:uid="{00000000-0005-0000-0000-0000CF100000}"/>
    <cellStyle name="20% - Accent5 4 2 2 3" xfId="9329" xr:uid="{00000000-0005-0000-0000-0000D0100000}"/>
    <cellStyle name="20% - Accent5 4 2 2 4" xfId="9327" xr:uid="{00000000-0005-0000-0000-0000D1100000}"/>
    <cellStyle name="20% - Accent5 4 2 3" xfId="9330" xr:uid="{00000000-0005-0000-0000-0000D2100000}"/>
    <cellStyle name="20% - Accent5 4 2 3 2" xfId="9331" xr:uid="{00000000-0005-0000-0000-0000D3100000}"/>
    <cellStyle name="20% - Accent5 4 2 3 3" xfId="9332" xr:uid="{00000000-0005-0000-0000-0000D4100000}"/>
    <cellStyle name="20% - Accent5 4 2 4" xfId="9333" xr:uid="{00000000-0005-0000-0000-0000D5100000}"/>
    <cellStyle name="20% - Accent5 4 2 4 2" xfId="9334" xr:uid="{00000000-0005-0000-0000-0000D6100000}"/>
    <cellStyle name="20% - Accent5 4 2 4 3" xfId="9335" xr:uid="{00000000-0005-0000-0000-0000D7100000}"/>
    <cellStyle name="20% - Accent5 4 2 5" xfId="9336" xr:uid="{00000000-0005-0000-0000-0000D8100000}"/>
    <cellStyle name="20% - Accent5 4 2 5 2" xfId="9337" xr:uid="{00000000-0005-0000-0000-0000D9100000}"/>
    <cellStyle name="20% - Accent5 4 2 5 3" xfId="9338" xr:uid="{00000000-0005-0000-0000-0000DA100000}"/>
    <cellStyle name="20% - Accent5 4 2 6" xfId="9339" xr:uid="{00000000-0005-0000-0000-0000DB100000}"/>
    <cellStyle name="20% - Accent5 4 2 6 2" xfId="9340" xr:uid="{00000000-0005-0000-0000-0000DC100000}"/>
    <cellStyle name="20% - Accent5 4 2 6 3" xfId="9341" xr:uid="{00000000-0005-0000-0000-0000DD100000}"/>
    <cellStyle name="20% - Accent5 4 2 7" xfId="9342" xr:uid="{00000000-0005-0000-0000-0000DE100000}"/>
    <cellStyle name="20% - Accent5 4 2 7 2" xfId="9343" xr:uid="{00000000-0005-0000-0000-0000DF100000}"/>
    <cellStyle name="20% - Accent5 4 2 7 3" xfId="9344" xr:uid="{00000000-0005-0000-0000-0000E0100000}"/>
    <cellStyle name="20% - Accent5 4 2 8" xfId="9345" xr:uid="{00000000-0005-0000-0000-0000E1100000}"/>
    <cellStyle name="20% - Accent5 4 2 8 2" xfId="9346" xr:uid="{00000000-0005-0000-0000-0000E2100000}"/>
    <cellStyle name="20% - Accent5 4 2 8 3" xfId="9347" xr:uid="{00000000-0005-0000-0000-0000E3100000}"/>
    <cellStyle name="20% - Accent5 4 2 9" xfId="9348" xr:uid="{00000000-0005-0000-0000-0000E4100000}"/>
    <cellStyle name="20% - Accent5 4 2 9 2" xfId="9349" xr:uid="{00000000-0005-0000-0000-0000E5100000}"/>
    <cellStyle name="20% - Accent5 4 2 9 3" xfId="9350" xr:uid="{00000000-0005-0000-0000-0000E6100000}"/>
    <cellStyle name="20% - Accent5 4 20" xfId="9284" xr:uid="{00000000-0005-0000-0000-0000E7100000}"/>
    <cellStyle name="20% - Accent5 4 20 2" xfId="25840" xr:uid="{00000000-0005-0000-0000-0000E8100000}"/>
    <cellStyle name="20% - Accent5 4 21" xfId="28486" xr:uid="{00000000-0005-0000-0000-0000E9100000}"/>
    <cellStyle name="20% - Accent5 4 3" xfId="1622" xr:uid="{00000000-0005-0000-0000-0000EA100000}"/>
    <cellStyle name="20% - Accent5 4 3 2" xfId="4397" xr:uid="{00000000-0005-0000-0000-0000EB100000}"/>
    <cellStyle name="20% - Accent5 4 3 2 2" xfId="9351" xr:uid="{00000000-0005-0000-0000-0000EC100000}"/>
    <cellStyle name="20% - Accent5 4 3 3" xfId="9352" xr:uid="{00000000-0005-0000-0000-0000ED100000}"/>
    <cellStyle name="20% - Accent5 4 3 4" xfId="9353" xr:uid="{00000000-0005-0000-0000-0000EE100000}"/>
    <cellStyle name="20% - Accent5 4 3 5" xfId="9354" xr:uid="{00000000-0005-0000-0000-0000EF100000}"/>
    <cellStyle name="20% - Accent5 4 4" xfId="1800" xr:uid="{00000000-0005-0000-0000-0000F0100000}"/>
    <cellStyle name="20% - Accent5 4 4 2" xfId="9355" xr:uid="{00000000-0005-0000-0000-0000F1100000}"/>
    <cellStyle name="20% - Accent5 4 4 3" xfId="9356" xr:uid="{00000000-0005-0000-0000-0000F2100000}"/>
    <cellStyle name="20% - Accent5 4 4 4" xfId="9357" xr:uid="{00000000-0005-0000-0000-0000F3100000}"/>
    <cellStyle name="20% - Accent5 4 5" xfId="2136" xr:uid="{00000000-0005-0000-0000-0000F4100000}"/>
    <cellStyle name="20% - Accent5 4 5 2" xfId="9358" xr:uid="{00000000-0005-0000-0000-0000F5100000}"/>
    <cellStyle name="20% - Accent5 4 5 3" xfId="9359" xr:uid="{00000000-0005-0000-0000-0000F6100000}"/>
    <cellStyle name="20% - Accent5 4 5 4" xfId="9360" xr:uid="{00000000-0005-0000-0000-0000F7100000}"/>
    <cellStyle name="20% - Accent5 4 6" xfId="2510" xr:uid="{00000000-0005-0000-0000-0000F8100000}"/>
    <cellStyle name="20% - Accent5 4 6 2" xfId="9361" xr:uid="{00000000-0005-0000-0000-0000F9100000}"/>
    <cellStyle name="20% - Accent5 4 6 3" xfId="9362" xr:uid="{00000000-0005-0000-0000-0000FA100000}"/>
    <cellStyle name="20% - Accent5 4 6 4" xfId="9363" xr:uid="{00000000-0005-0000-0000-0000FB100000}"/>
    <cellStyle name="20% - Accent5 4 7" xfId="2882" xr:uid="{00000000-0005-0000-0000-0000FC100000}"/>
    <cellStyle name="20% - Accent5 4 7 2" xfId="9364" xr:uid="{00000000-0005-0000-0000-0000FD100000}"/>
    <cellStyle name="20% - Accent5 4 7 3" xfId="9365" xr:uid="{00000000-0005-0000-0000-0000FE100000}"/>
    <cellStyle name="20% - Accent5 4 7 4" xfId="9366" xr:uid="{00000000-0005-0000-0000-0000FF100000}"/>
    <cellStyle name="20% - Accent5 4 8" xfId="3253" xr:uid="{00000000-0005-0000-0000-000000110000}"/>
    <cellStyle name="20% - Accent5 4 8 2" xfId="9367" xr:uid="{00000000-0005-0000-0000-000001110000}"/>
    <cellStyle name="20% - Accent5 4 8 3" xfId="9368" xr:uid="{00000000-0005-0000-0000-000002110000}"/>
    <cellStyle name="20% - Accent5 4 8 4" xfId="9369" xr:uid="{00000000-0005-0000-0000-000003110000}"/>
    <cellStyle name="20% - Accent5 4 9" xfId="3586" xr:uid="{00000000-0005-0000-0000-000004110000}"/>
    <cellStyle name="20% - Accent5 4 9 2" xfId="4398" xr:uid="{00000000-0005-0000-0000-000005110000}"/>
    <cellStyle name="20% - Accent5 4 9 2 2" xfId="9370" xr:uid="{00000000-0005-0000-0000-000006110000}"/>
    <cellStyle name="20% - Accent5 4 9 3" xfId="9371" xr:uid="{00000000-0005-0000-0000-000007110000}"/>
    <cellStyle name="20% - Accent5 4 9 4" xfId="9372" xr:uid="{00000000-0005-0000-0000-000008110000}"/>
    <cellStyle name="20% - Accent5 4 9 5" xfId="9373" xr:uid="{00000000-0005-0000-0000-000009110000}"/>
    <cellStyle name="20% - Accent5 5" xfId="375" xr:uid="{00000000-0005-0000-0000-00000A110000}"/>
    <cellStyle name="20% - Accent5 5 10" xfId="9374" xr:uid="{00000000-0005-0000-0000-00000B110000}"/>
    <cellStyle name="20% - Accent5 5 10 2" xfId="9375" xr:uid="{00000000-0005-0000-0000-00000C110000}"/>
    <cellStyle name="20% - Accent5 5 10 3" xfId="9376" xr:uid="{00000000-0005-0000-0000-00000D110000}"/>
    <cellStyle name="20% - Accent5 5 11" xfId="9377" xr:uid="{00000000-0005-0000-0000-00000E110000}"/>
    <cellStyle name="20% - Accent5 5 11 2" xfId="9378" xr:uid="{00000000-0005-0000-0000-00000F110000}"/>
    <cellStyle name="20% - Accent5 5 11 3" xfId="9379" xr:uid="{00000000-0005-0000-0000-000010110000}"/>
    <cellStyle name="20% - Accent5 5 12" xfId="9380" xr:uid="{00000000-0005-0000-0000-000011110000}"/>
    <cellStyle name="20% - Accent5 5 12 2" xfId="9381" xr:uid="{00000000-0005-0000-0000-000012110000}"/>
    <cellStyle name="20% - Accent5 5 12 3" xfId="9382" xr:uid="{00000000-0005-0000-0000-000013110000}"/>
    <cellStyle name="20% - Accent5 5 13" xfId="9383" xr:uid="{00000000-0005-0000-0000-000014110000}"/>
    <cellStyle name="20% - Accent5 5 13 2" xfId="9384" xr:uid="{00000000-0005-0000-0000-000015110000}"/>
    <cellStyle name="20% - Accent5 5 13 3" xfId="9385" xr:uid="{00000000-0005-0000-0000-000016110000}"/>
    <cellStyle name="20% - Accent5 5 14" xfId="9386" xr:uid="{00000000-0005-0000-0000-000017110000}"/>
    <cellStyle name="20% - Accent5 5 15" xfId="9387" xr:uid="{00000000-0005-0000-0000-000018110000}"/>
    <cellStyle name="20% - Accent5 5 16" xfId="9388" xr:uid="{00000000-0005-0000-0000-000019110000}"/>
    <cellStyle name="20% - Accent5 5 17" xfId="9389" xr:uid="{00000000-0005-0000-0000-00001A110000}"/>
    <cellStyle name="20% - Accent5 5 2" xfId="1864" xr:uid="{00000000-0005-0000-0000-00001B110000}"/>
    <cellStyle name="20% - Accent5 5 2 10" xfId="9390" xr:uid="{00000000-0005-0000-0000-00001C110000}"/>
    <cellStyle name="20% - Accent5 5 2 10 2" xfId="9391" xr:uid="{00000000-0005-0000-0000-00001D110000}"/>
    <cellStyle name="20% - Accent5 5 2 10 3" xfId="9392" xr:uid="{00000000-0005-0000-0000-00001E110000}"/>
    <cellStyle name="20% - Accent5 5 2 11" xfId="9393" xr:uid="{00000000-0005-0000-0000-00001F110000}"/>
    <cellStyle name="20% - Accent5 5 2 11 2" xfId="9394" xr:uid="{00000000-0005-0000-0000-000020110000}"/>
    <cellStyle name="20% - Accent5 5 2 11 3" xfId="9395" xr:uid="{00000000-0005-0000-0000-000021110000}"/>
    <cellStyle name="20% - Accent5 5 2 12" xfId="9396" xr:uid="{00000000-0005-0000-0000-000022110000}"/>
    <cellStyle name="20% - Accent5 5 2 12 2" xfId="9397" xr:uid="{00000000-0005-0000-0000-000023110000}"/>
    <cellStyle name="20% - Accent5 5 2 12 3" xfId="9398" xr:uid="{00000000-0005-0000-0000-000024110000}"/>
    <cellStyle name="20% - Accent5 5 2 13" xfId="9399" xr:uid="{00000000-0005-0000-0000-000025110000}"/>
    <cellStyle name="20% - Accent5 5 2 14" xfId="9400" xr:uid="{00000000-0005-0000-0000-000026110000}"/>
    <cellStyle name="20% - Accent5 5 2 15" xfId="9401" xr:uid="{00000000-0005-0000-0000-000027110000}"/>
    <cellStyle name="20% - Accent5 5 2 2" xfId="9402" xr:uid="{00000000-0005-0000-0000-000028110000}"/>
    <cellStyle name="20% - Accent5 5 2 2 2" xfId="9403" xr:uid="{00000000-0005-0000-0000-000029110000}"/>
    <cellStyle name="20% - Accent5 5 2 2 3" xfId="9404" xr:uid="{00000000-0005-0000-0000-00002A110000}"/>
    <cellStyle name="20% - Accent5 5 2 3" xfId="9405" xr:uid="{00000000-0005-0000-0000-00002B110000}"/>
    <cellStyle name="20% - Accent5 5 2 3 2" xfId="9406" xr:uid="{00000000-0005-0000-0000-00002C110000}"/>
    <cellStyle name="20% - Accent5 5 2 3 3" xfId="9407" xr:uid="{00000000-0005-0000-0000-00002D110000}"/>
    <cellStyle name="20% - Accent5 5 2 4" xfId="9408" xr:uid="{00000000-0005-0000-0000-00002E110000}"/>
    <cellStyle name="20% - Accent5 5 2 4 2" xfId="9409" xr:uid="{00000000-0005-0000-0000-00002F110000}"/>
    <cellStyle name="20% - Accent5 5 2 4 3" xfId="9410" xr:uid="{00000000-0005-0000-0000-000030110000}"/>
    <cellStyle name="20% - Accent5 5 2 5" xfId="9411" xr:uid="{00000000-0005-0000-0000-000031110000}"/>
    <cellStyle name="20% - Accent5 5 2 5 2" xfId="9412" xr:uid="{00000000-0005-0000-0000-000032110000}"/>
    <cellStyle name="20% - Accent5 5 2 5 3" xfId="9413" xr:uid="{00000000-0005-0000-0000-000033110000}"/>
    <cellStyle name="20% - Accent5 5 2 6" xfId="9414" xr:uid="{00000000-0005-0000-0000-000034110000}"/>
    <cellStyle name="20% - Accent5 5 2 6 2" xfId="9415" xr:uid="{00000000-0005-0000-0000-000035110000}"/>
    <cellStyle name="20% - Accent5 5 2 6 3" xfId="9416" xr:uid="{00000000-0005-0000-0000-000036110000}"/>
    <cellStyle name="20% - Accent5 5 2 7" xfId="9417" xr:uid="{00000000-0005-0000-0000-000037110000}"/>
    <cellStyle name="20% - Accent5 5 2 7 2" xfId="9418" xr:uid="{00000000-0005-0000-0000-000038110000}"/>
    <cellStyle name="20% - Accent5 5 2 7 3" xfId="9419" xr:uid="{00000000-0005-0000-0000-000039110000}"/>
    <cellStyle name="20% - Accent5 5 2 8" xfId="9420" xr:uid="{00000000-0005-0000-0000-00003A110000}"/>
    <cellStyle name="20% - Accent5 5 2 8 2" xfId="9421" xr:uid="{00000000-0005-0000-0000-00003B110000}"/>
    <cellStyle name="20% - Accent5 5 2 8 3" xfId="9422" xr:uid="{00000000-0005-0000-0000-00003C110000}"/>
    <cellStyle name="20% - Accent5 5 2 9" xfId="9423" xr:uid="{00000000-0005-0000-0000-00003D110000}"/>
    <cellStyle name="20% - Accent5 5 2 9 2" xfId="9424" xr:uid="{00000000-0005-0000-0000-00003E110000}"/>
    <cellStyle name="20% - Accent5 5 2 9 3" xfId="9425" xr:uid="{00000000-0005-0000-0000-00003F110000}"/>
    <cellStyle name="20% - Accent5 5 3" xfId="2239" xr:uid="{00000000-0005-0000-0000-000040110000}"/>
    <cellStyle name="20% - Accent5 5 3 2" xfId="9426" xr:uid="{00000000-0005-0000-0000-000041110000}"/>
    <cellStyle name="20% - Accent5 5 3 3" xfId="9427" xr:uid="{00000000-0005-0000-0000-000042110000}"/>
    <cellStyle name="20% - Accent5 5 3 4" xfId="9428" xr:uid="{00000000-0005-0000-0000-000043110000}"/>
    <cellStyle name="20% - Accent5 5 4" xfId="2613" xr:uid="{00000000-0005-0000-0000-000044110000}"/>
    <cellStyle name="20% - Accent5 5 4 2" xfId="9429" xr:uid="{00000000-0005-0000-0000-000045110000}"/>
    <cellStyle name="20% - Accent5 5 4 3" xfId="9430" xr:uid="{00000000-0005-0000-0000-000046110000}"/>
    <cellStyle name="20% - Accent5 5 4 4" xfId="9431" xr:uid="{00000000-0005-0000-0000-000047110000}"/>
    <cellStyle name="20% - Accent5 5 5" xfId="2985" xr:uid="{00000000-0005-0000-0000-000048110000}"/>
    <cellStyle name="20% - Accent5 5 5 2" xfId="9432" xr:uid="{00000000-0005-0000-0000-000049110000}"/>
    <cellStyle name="20% - Accent5 5 5 3" xfId="9433" xr:uid="{00000000-0005-0000-0000-00004A110000}"/>
    <cellStyle name="20% - Accent5 5 5 4" xfId="9434" xr:uid="{00000000-0005-0000-0000-00004B110000}"/>
    <cellStyle name="20% - Accent5 5 6" xfId="3357" xr:uid="{00000000-0005-0000-0000-00004C110000}"/>
    <cellStyle name="20% - Accent5 5 6 2" xfId="9435" xr:uid="{00000000-0005-0000-0000-00004D110000}"/>
    <cellStyle name="20% - Accent5 5 6 3" xfId="9436" xr:uid="{00000000-0005-0000-0000-00004E110000}"/>
    <cellStyle name="20% - Accent5 5 6 4" xfId="9437" xr:uid="{00000000-0005-0000-0000-00004F110000}"/>
    <cellStyle name="20% - Accent5 5 7" xfId="4399" xr:uid="{00000000-0005-0000-0000-000050110000}"/>
    <cellStyle name="20% - Accent5 5 7 2" xfId="9439" xr:uid="{00000000-0005-0000-0000-000051110000}"/>
    <cellStyle name="20% - Accent5 5 7 3" xfId="9440" xr:uid="{00000000-0005-0000-0000-000052110000}"/>
    <cellStyle name="20% - Accent5 5 7 4" xfId="9438" xr:uid="{00000000-0005-0000-0000-000053110000}"/>
    <cellStyle name="20% - Accent5 5 8" xfId="9441" xr:uid="{00000000-0005-0000-0000-000054110000}"/>
    <cellStyle name="20% - Accent5 5 8 2" xfId="9442" xr:uid="{00000000-0005-0000-0000-000055110000}"/>
    <cellStyle name="20% - Accent5 5 8 3" xfId="9443" xr:uid="{00000000-0005-0000-0000-000056110000}"/>
    <cellStyle name="20% - Accent5 5 9" xfId="9444" xr:uid="{00000000-0005-0000-0000-000057110000}"/>
    <cellStyle name="20% - Accent5 5 9 2" xfId="9445" xr:uid="{00000000-0005-0000-0000-000058110000}"/>
    <cellStyle name="20% - Accent5 5 9 3" xfId="9446" xr:uid="{00000000-0005-0000-0000-000059110000}"/>
    <cellStyle name="20% - Accent5 6" xfId="376" xr:uid="{00000000-0005-0000-0000-00005A110000}"/>
    <cellStyle name="20% - Accent5 6 10" xfId="5356" xr:uid="{00000000-0005-0000-0000-00005B110000}"/>
    <cellStyle name="20% - Accent5 6 10 2" xfId="6133" xr:uid="{00000000-0005-0000-0000-00005C110000}"/>
    <cellStyle name="20% - Accent5 6 10 2 2" xfId="9449" xr:uid="{00000000-0005-0000-0000-00005D110000}"/>
    <cellStyle name="20% - Accent5 6 10 2 3" xfId="25843" xr:uid="{00000000-0005-0000-0000-00005E110000}"/>
    <cellStyle name="20% - Accent5 6 10 3" xfId="9450" xr:uid="{00000000-0005-0000-0000-00005F110000}"/>
    <cellStyle name="20% - Accent5 6 10 4" xfId="9448" xr:uid="{00000000-0005-0000-0000-000060110000}"/>
    <cellStyle name="20% - Accent5 6 10 5" xfId="25842" xr:uid="{00000000-0005-0000-0000-000061110000}"/>
    <cellStyle name="20% - Accent5 6 11" xfId="5666" xr:uid="{00000000-0005-0000-0000-000062110000}"/>
    <cellStyle name="20% - Accent5 6 11 2" xfId="6134" xr:uid="{00000000-0005-0000-0000-000063110000}"/>
    <cellStyle name="20% - Accent5 6 11 2 2" xfId="9452" xr:uid="{00000000-0005-0000-0000-000064110000}"/>
    <cellStyle name="20% - Accent5 6 11 2 3" xfId="25845" xr:uid="{00000000-0005-0000-0000-000065110000}"/>
    <cellStyle name="20% - Accent5 6 11 3" xfId="9453" xr:uid="{00000000-0005-0000-0000-000066110000}"/>
    <cellStyle name="20% - Accent5 6 11 4" xfId="9451" xr:uid="{00000000-0005-0000-0000-000067110000}"/>
    <cellStyle name="20% - Accent5 6 11 5" xfId="25844" xr:uid="{00000000-0005-0000-0000-000068110000}"/>
    <cellStyle name="20% - Accent5 6 12" xfId="4400" xr:uid="{00000000-0005-0000-0000-000069110000}"/>
    <cellStyle name="20% - Accent5 6 12 2" xfId="6135" xr:uid="{00000000-0005-0000-0000-00006A110000}"/>
    <cellStyle name="20% - Accent5 6 12 2 2" xfId="9455" xr:uid="{00000000-0005-0000-0000-00006B110000}"/>
    <cellStyle name="20% - Accent5 6 12 2 3" xfId="25847" xr:uid="{00000000-0005-0000-0000-00006C110000}"/>
    <cellStyle name="20% - Accent5 6 12 3" xfId="9456" xr:uid="{00000000-0005-0000-0000-00006D110000}"/>
    <cellStyle name="20% - Accent5 6 12 4" xfId="9454" xr:uid="{00000000-0005-0000-0000-00006E110000}"/>
    <cellStyle name="20% - Accent5 6 12 5" xfId="25846" xr:uid="{00000000-0005-0000-0000-00006F110000}"/>
    <cellStyle name="20% - Accent5 6 13" xfId="6132" xr:uid="{00000000-0005-0000-0000-000070110000}"/>
    <cellStyle name="20% - Accent5 6 13 2" xfId="9457" xr:uid="{00000000-0005-0000-0000-000071110000}"/>
    <cellStyle name="20% - Accent5 6 13 3" xfId="25848" xr:uid="{00000000-0005-0000-0000-000072110000}"/>
    <cellStyle name="20% - Accent5 6 14" xfId="9458" xr:uid="{00000000-0005-0000-0000-000073110000}"/>
    <cellStyle name="20% - Accent5 6 15" xfId="9459" xr:uid="{00000000-0005-0000-0000-000074110000}"/>
    <cellStyle name="20% - Accent5 6 16" xfId="9460" xr:uid="{00000000-0005-0000-0000-000075110000}"/>
    <cellStyle name="20% - Accent5 6 16 2" xfId="9461" xr:uid="{00000000-0005-0000-0000-000076110000}"/>
    <cellStyle name="20% - Accent5 6 16 2 2" xfId="25850" xr:uid="{00000000-0005-0000-0000-000077110000}"/>
    <cellStyle name="20% - Accent5 6 16 2 3" xfId="28502" xr:uid="{00000000-0005-0000-0000-000078110000}"/>
    <cellStyle name="20% - Accent5 6 16 3" xfId="9462" xr:uid="{00000000-0005-0000-0000-000079110000}"/>
    <cellStyle name="20% - Accent5 6 16 3 2" xfId="25851" xr:uid="{00000000-0005-0000-0000-00007A110000}"/>
    <cellStyle name="20% - Accent5 6 16 3 3" xfId="28503" xr:uid="{00000000-0005-0000-0000-00007B110000}"/>
    <cellStyle name="20% - Accent5 6 16 4" xfId="25849" xr:uid="{00000000-0005-0000-0000-00007C110000}"/>
    <cellStyle name="20% - Accent5 6 16 5" xfId="28501" xr:uid="{00000000-0005-0000-0000-00007D110000}"/>
    <cellStyle name="20% - Accent5 6 17" xfId="9463" xr:uid="{00000000-0005-0000-0000-00007E110000}"/>
    <cellStyle name="20% - Accent5 6 17 2" xfId="25852" xr:uid="{00000000-0005-0000-0000-00007F110000}"/>
    <cellStyle name="20% - Accent5 6 17 3" xfId="28504" xr:uid="{00000000-0005-0000-0000-000080110000}"/>
    <cellStyle name="20% - Accent5 6 18" xfId="9464" xr:uid="{00000000-0005-0000-0000-000081110000}"/>
    <cellStyle name="20% - Accent5 6 18 2" xfId="25853" xr:uid="{00000000-0005-0000-0000-000082110000}"/>
    <cellStyle name="20% - Accent5 6 18 3" xfId="28505" xr:uid="{00000000-0005-0000-0000-000083110000}"/>
    <cellStyle name="20% - Accent5 6 19" xfId="9447" xr:uid="{00000000-0005-0000-0000-000084110000}"/>
    <cellStyle name="20% - Accent5 6 19 2" xfId="25854" xr:uid="{00000000-0005-0000-0000-000085110000}"/>
    <cellStyle name="20% - Accent5 6 2" xfId="1973" xr:uid="{00000000-0005-0000-0000-000086110000}"/>
    <cellStyle name="20% - Accent5 6 2 2" xfId="4401" xr:uid="{00000000-0005-0000-0000-000087110000}"/>
    <cellStyle name="20% - Accent5 6 2 2 2" xfId="9465" xr:uid="{00000000-0005-0000-0000-000088110000}"/>
    <cellStyle name="20% - Accent5 6 2 3" xfId="9466" xr:uid="{00000000-0005-0000-0000-000089110000}"/>
    <cellStyle name="20% - Accent5 6 2 4" xfId="9467" xr:uid="{00000000-0005-0000-0000-00008A110000}"/>
    <cellStyle name="20% - Accent5 6 2 5" xfId="9468" xr:uid="{00000000-0005-0000-0000-00008B110000}"/>
    <cellStyle name="20% - Accent5 6 20" xfId="24835" xr:uid="{00000000-0005-0000-0000-00008C110000}"/>
    <cellStyle name="20% - Accent5 6 21" xfId="25841" xr:uid="{00000000-0005-0000-0000-00008D110000}"/>
    <cellStyle name="20% - Accent5 6 22" xfId="28500" xr:uid="{00000000-0005-0000-0000-00008E110000}"/>
    <cellStyle name="20% - Accent5 6 3" xfId="2348" xr:uid="{00000000-0005-0000-0000-00008F110000}"/>
    <cellStyle name="20% - Accent5 6 3 2" xfId="4402" xr:uid="{00000000-0005-0000-0000-000090110000}"/>
    <cellStyle name="20% - Accent5 6 3 2 2" xfId="9469" xr:uid="{00000000-0005-0000-0000-000091110000}"/>
    <cellStyle name="20% - Accent5 6 3 3" xfId="9470" xr:uid="{00000000-0005-0000-0000-000092110000}"/>
    <cellStyle name="20% - Accent5 6 3 4" xfId="9471" xr:uid="{00000000-0005-0000-0000-000093110000}"/>
    <cellStyle name="20% - Accent5 6 3 5" xfId="9472" xr:uid="{00000000-0005-0000-0000-000094110000}"/>
    <cellStyle name="20% - Accent5 6 4" xfId="2721" xr:uid="{00000000-0005-0000-0000-000095110000}"/>
    <cellStyle name="20% - Accent5 6 4 2" xfId="4403" xr:uid="{00000000-0005-0000-0000-000096110000}"/>
    <cellStyle name="20% - Accent5 6 4 2 2" xfId="9473" xr:uid="{00000000-0005-0000-0000-000097110000}"/>
    <cellStyle name="20% - Accent5 6 4 3" xfId="9474" xr:uid="{00000000-0005-0000-0000-000098110000}"/>
    <cellStyle name="20% - Accent5 6 4 4" xfId="9475" xr:uid="{00000000-0005-0000-0000-000099110000}"/>
    <cellStyle name="20% - Accent5 6 4 5" xfId="9476" xr:uid="{00000000-0005-0000-0000-00009A110000}"/>
    <cellStyle name="20% - Accent5 6 5" xfId="3094" xr:uid="{00000000-0005-0000-0000-00009B110000}"/>
    <cellStyle name="20% - Accent5 6 5 2" xfId="4404" xr:uid="{00000000-0005-0000-0000-00009C110000}"/>
    <cellStyle name="20% - Accent5 6 5 2 2" xfId="9477" xr:uid="{00000000-0005-0000-0000-00009D110000}"/>
    <cellStyle name="20% - Accent5 6 5 3" xfId="9478" xr:uid="{00000000-0005-0000-0000-00009E110000}"/>
    <cellStyle name="20% - Accent5 6 5 4" xfId="9479" xr:uid="{00000000-0005-0000-0000-00009F110000}"/>
    <cellStyle name="20% - Accent5 6 5 5" xfId="9480" xr:uid="{00000000-0005-0000-0000-0000A0110000}"/>
    <cellStyle name="20% - Accent5 6 6" xfId="3465" xr:uid="{00000000-0005-0000-0000-0000A1110000}"/>
    <cellStyle name="20% - Accent5 6 6 2" xfId="4405" xr:uid="{00000000-0005-0000-0000-0000A2110000}"/>
    <cellStyle name="20% - Accent5 6 6 2 2" xfId="9481" xr:uid="{00000000-0005-0000-0000-0000A3110000}"/>
    <cellStyle name="20% - Accent5 6 6 3" xfId="9482" xr:uid="{00000000-0005-0000-0000-0000A4110000}"/>
    <cellStyle name="20% - Accent5 6 6 4" xfId="9483" xr:uid="{00000000-0005-0000-0000-0000A5110000}"/>
    <cellStyle name="20% - Accent5 6 6 5" xfId="9484" xr:uid="{00000000-0005-0000-0000-0000A6110000}"/>
    <cellStyle name="20% - Accent5 6 7" xfId="3771" xr:uid="{00000000-0005-0000-0000-0000A7110000}"/>
    <cellStyle name="20% - Accent5 6 7 2" xfId="4406" xr:uid="{00000000-0005-0000-0000-0000A8110000}"/>
    <cellStyle name="20% - Accent5 6 7 2 2" xfId="9485" xr:uid="{00000000-0005-0000-0000-0000A9110000}"/>
    <cellStyle name="20% - Accent5 6 7 3" xfId="9486" xr:uid="{00000000-0005-0000-0000-0000AA110000}"/>
    <cellStyle name="20% - Accent5 6 7 4" xfId="9487" xr:uid="{00000000-0005-0000-0000-0000AB110000}"/>
    <cellStyle name="20% - Accent5 6 7 5" xfId="9488" xr:uid="{00000000-0005-0000-0000-0000AC110000}"/>
    <cellStyle name="20% - Accent5 6 8" xfId="1369" xr:uid="{00000000-0005-0000-0000-0000AD110000}"/>
    <cellStyle name="20% - Accent5 6 8 10" xfId="25855" xr:uid="{00000000-0005-0000-0000-0000AE110000}"/>
    <cellStyle name="20% - Accent5 6 8 11" xfId="28506" xr:uid="{00000000-0005-0000-0000-0000AF110000}"/>
    <cellStyle name="20% - Accent5 6 8 2" xfId="4169" xr:uid="{00000000-0005-0000-0000-0000B0110000}"/>
    <cellStyle name="20% - Accent5 6 8 2 2" xfId="5358" xr:uid="{00000000-0005-0000-0000-0000B1110000}"/>
    <cellStyle name="20% - Accent5 6 8 2 2 2" xfId="6138" xr:uid="{00000000-0005-0000-0000-0000B2110000}"/>
    <cellStyle name="20% - Accent5 6 8 2 2 2 2" xfId="25858" xr:uid="{00000000-0005-0000-0000-0000B3110000}"/>
    <cellStyle name="20% - Accent5 6 8 2 2 3" xfId="9491" xr:uid="{00000000-0005-0000-0000-0000B4110000}"/>
    <cellStyle name="20% - Accent5 6 8 2 2 4" xfId="25857" xr:uid="{00000000-0005-0000-0000-0000B5110000}"/>
    <cellStyle name="20% - Accent5 6 8 2 3" xfId="5668" xr:uid="{00000000-0005-0000-0000-0000B6110000}"/>
    <cellStyle name="20% - Accent5 6 8 2 3 2" xfId="6139" xr:uid="{00000000-0005-0000-0000-0000B7110000}"/>
    <cellStyle name="20% - Accent5 6 8 2 3 2 2" xfId="25860" xr:uid="{00000000-0005-0000-0000-0000B8110000}"/>
    <cellStyle name="20% - Accent5 6 8 2 3 3" xfId="25859" xr:uid="{00000000-0005-0000-0000-0000B9110000}"/>
    <cellStyle name="20% - Accent5 6 8 2 4" xfId="4408" xr:uid="{00000000-0005-0000-0000-0000BA110000}"/>
    <cellStyle name="20% - Accent5 6 8 2 4 2" xfId="6140" xr:uid="{00000000-0005-0000-0000-0000BB110000}"/>
    <cellStyle name="20% - Accent5 6 8 2 4 2 2" xfId="25862" xr:uid="{00000000-0005-0000-0000-0000BC110000}"/>
    <cellStyle name="20% - Accent5 6 8 2 4 3" xfId="25861" xr:uid="{00000000-0005-0000-0000-0000BD110000}"/>
    <cellStyle name="20% - Accent5 6 8 2 5" xfId="6137" xr:uid="{00000000-0005-0000-0000-0000BE110000}"/>
    <cellStyle name="20% - Accent5 6 8 2 5 2" xfId="25863" xr:uid="{00000000-0005-0000-0000-0000BF110000}"/>
    <cellStyle name="20% - Accent5 6 8 2 6" xfId="9490" xr:uid="{00000000-0005-0000-0000-0000C0110000}"/>
    <cellStyle name="20% - Accent5 6 8 2 6 2" xfId="25864" xr:uid="{00000000-0005-0000-0000-0000C1110000}"/>
    <cellStyle name="20% - Accent5 6 8 2 7" xfId="25021" xr:uid="{00000000-0005-0000-0000-0000C2110000}"/>
    <cellStyle name="20% - Accent5 6 8 2 8" xfId="25856" xr:uid="{00000000-0005-0000-0000-0000C3110000}"/>
    <cellStyle name="20% - Accent5 6 8 2 9" xfId="28507" xr:uid="{00000000-0005-0000-0000-0000C4110000}"/>
    <cellStyle name="20% - Accent5 6 8 3" xfId="5357" xr:uid="{00000000-0005-0000-0000-0000C5110000}"/>
    <cellStyle name="20% - Accent5 6 8 3 2" xfId="6141" xr:uid="{00000000-0005-0000-0000-0000C6110000}"/>
    <cellStyle name="20% - Accent5 6 8 3 2 2" xfId="25866" xr:uid="{00000000-0005-0000-0000-0000C7110000}"/>
    <cellStyle name="20% - Accent5 6 8 3 3" xfId="9492" xr:uid="{00000000-0005-0000-0000-0000C8110000}"/>
    <cellStyle name="20% - Accent5 6 8 3 4" xfId="25865" xr:uid="{00000000-0005-0000-0000-0000C9110000}"/>
    <cellStyle name="20% - Accent5 6 8 4" xfId="5667" xr:uid="{00000000-0005-0000-0000-0000CA110000}"/>
    <cellStyle name="20% - Accent5 6 8 4 2" xfId="6142" xr:uid="{00000000-0005-0000-0000-0000CB110000}"/>
    <cellStyle name="20% - Accent5 6 8 4 2 2" xfId="25868" xr:uid="{00000000-0005-0000-0000-0000CC110000}"/>
    <cellStyle name="20% - Accent5 6 8 4 3" xfId="9493" xr:uid="{00000000-0005-0000-0000-0000CD110000}"/>
    <cellStyle name="20% - Accent5 6 8 4 4" xfId="25867" xr:uid="{00000000-0005-0000-0000-0000CE110000}"/>
    <cellStyle name="20% - Accent5 6 8 5" xfId="4407" xr:uid="{00000000-0005-0000-0000-0000CF110000}"/>
    <cellStyle name="20% - Accent5 6 8 5 2" xfId="6143" xr:uid="{00000000-0005-0000-0000-0000D0110000}"/>
    <cellStyle name="20% - Accent5 6 8 5 2 2" xfId="9495" xr:uid="{00000000-0005-0000-0000-0000D1110000}"/>
    <cellStyle name="20% - Accent5 6 8 5 2 2 2" xfId="25871" xr:uid="{00000000-0005-0000-0000-0000D2110000}"/>
    <cellStyle name="20% - Accent5 6 8 5 2 3" xfId="25870" xr:uid="{00000000-0005-0000-0000-0000D3110000}"/>
    <cellStyle name="20% - Accent5 6 8 5 2 4" xfId="28509" xr:uid="{00000000-0005-0000-0000-0000D4110000}"/>
    <cellStyle name="20% - Accent5 6 8 5 3" xfId="9496" xr:uid="{00000000-0005-0000-0000-0000D5110000}"/>
    <cellStyle name="20% - Accent5 6 8 5 3 2" xfId="25872" xr:uid="{00000000-0005-0000-0000-0000D6110000}"/>
    <cellStyle name="20% - Accent5 6 8 5 3 3" xfId="28510" xr:uid="{00000000-0005-0000-0000-0000D7110000}"/>
    <cellStyle name="20% - Accent5 6 8 5 4" xfId="9494" xr:uid="{00000000-0005-0000-0000-0000D8110000}"/>
    <cellStyle name="20% - Accent5 6 8 5 4 2" xfId="25873" xr:uid="{00000000-0005-0000-0000-0000D9110000}"/>
    <cellStyle name="20% - Accent5 6 8 5 5" xfId="25869" xr:uid="{00000000-0005-0000-0000-0000DA110000}"/>
    <cellStyle name="20% - Accent5 6 8 5 6" xfId="28508" xr:uid="{00000000-0005-0000-0000-0000DB110000}"/>
    <cellStyle name="20% - Accent5 6 8 6" xfId="6136" xr:uid="{00000000-0005-0000-0000-0000DC110000}"/>
    <cellStyle name="20% - Accent5 6 8 6 2" xfId="9497" xr:uid="{00000000-0005-0000-0000-0000DD110000}"/>
    <cellStyle name="20% - Accent5 6 8 6 2 2" xfId="25875" xr:uid="{00000000-0005-0000-0000-0000DE110000}"/>
    <cellStyle name="20% - Accent5 6 8 6 3" xfId="25874" xr:uid="{00000000-0005-0000-0000-0000DF110000}"/>
    <cellStyle name="20% - Accent5 6 8 6 4" xfId="28511" xr:uid="{00000000-0005-0000-0000-0000E0110000}"/>
    <cellStyle name="20% - Accent5 6 8 7" xfId="9498" xr:uid="{00000000-0005-0000-0000-0000E1110000}"/>
    <cellStyle name="20% - Accent5 6 8 7 2" xfId="25876" xr:uid="{00000000-0005-0000-0000-0000E2110000}"/>
    <cellStyle name="20% - Accent5 6 8 7 3" xfId="28512" xr:uid="{00000000-0005-0000-0000-0000E3110000}"/>
    <cellStyle name="20% - Accent5 6 8 8" xfId="9489" xr:uid="{00000000-0005-0000-0000-0000E4110000}"/>
    <cellStyle name="20% - Accent5 6 8 8 2" xfId="25877" xr:uid="{00000000-0005-0000-0000-0000E5110000}"/>
    <cellStyle name="20% - Accent5 6 8 9" xfId="24901" xr:uid="{00000000-0005-0000-0000-0000E6110000}"/>
    <cellStyle name="20% - Accent5 6 9" xfId="3821" xr:uid="{00000000-0005-0000-0000-0000E7110000}"/>
    <cellStyle name="20% - Accent5 6 9 2" xfId="5359" xr:uid="{00000000-0005-0000-0000-0000E8110000}"/>
    <cellStyle name="20% - Accent5 6 9 2 2" xfId="6145" xr:uid="{00000000-0005-0000-0000-0000E9110000}"/>
    <cellStyle name="20% - Accent5 6 9 2 2 2" xfId="25880" xr:uid="{00000000-0005-0000-0000-0000EA110000}"/>
    <cellStyle name="20% - Accent5 6 9 2 3" xfId="9500" xr:uid="{00000000-0005-0000-0000-0000EB110000}"/>
    <cellStyle name="20% - Accent5 6 9 2 4" xfId="25879" xr:uid="{00000000-0005-0000-0000-0000EC110000}"/>
    <cellStyle name="20% - Accent5 6 9 3" xfId="5669" xr:uid="{00000000-0005-0000-0000-0000ED110000}"/>
    <cellStyle name="20% - Accent5 6 9 3 2" xfId="6146" xr:uid="{00000000-0005-0000-0000-0000EE110000}"/>
    <cellStyle name="20% - Accent5 6 9 3 2 2" xfId="25882" xr:uid="{00000000-0005-0000-0000-0000EF110000}"/>
    <cellStyle name="20% - Accent5 6 9 3 3" xfId="9501" xr:uid="{00000000-0005-0000-0000-0000F0110000}"/>
    <cellStyle name="20% - Accent5 6 9 3 4" xfId="25881" xr:uid="{00000000-0005-0000-0000-0000F1110000}"/>
    <cellStyle name="20% - Accent5 6 9 4" xfId="4409" xr:uid="{00000000-0005-0000-0000-0000F2110000}"/>
    <cellStyle name="20% - Accent5 6 9 4 2" xfId="6147" xr:uid="{00000000-0005-0000-0000-0000F3110000}"/>
    <cellStyle name="20% - Accent5 6 9 4 2 2" xfId="25884" xr:uid="{00000000-0005-0000-0000-0000F4110000}"/>
    <cellStyle name="20% - Accent5 6 9 4 3" xfId="9502" xr:uid="{00000000-0005-0000-0000-0000F5110000}"/>
    <cellStyle name="20% - Accent5 6 9 4 4" xfId="25883" xr:uid="{00000000-0005-0000-0000-0000F6110000}"/>
    <cellStyle name="20% - Accent5 6 9 5" xfId="6144" xr:uid="{00000000-0005-0000-0000-0000F7110000}"/>
    <cellStyle name="20% - Accent5 6 9 5 2" xfId="25885" xr:uid="{00000000-0005-0000-0000-0000F8110000}"/>
    <cellStyle name="20% - Accent5 6 9 6" xfId="9499" xr:uid="{00000000-0005-0000-0000-0000F9110000}"/>
    <cellStyle name="20% - Accent5 6 9 6 2" xfId="25886" xr:uid="{00000000-0005-0000-0000-0000FA110000}"/>
    <cellStyle name="20% - Accent5 6 9 7" xfId="24957" xr:uid="{00000000-0005-0000-0000-0000FB110000}"/>
    <cellStyle name="20% - Accent5 6 9 8" xfId="25878" xr:uid="{00000000-0005-0000-0000-0000FC110000}"/>
    <cellStyle name="20% - Accent5 6 9 9" xfId="28513" xr:uid="{00000000-0005-0000-0000-0000FD110000}"/>
    <cellStyle name="20% - Accent5 7" xfId="377" xr:uid="{00000000-0005-0000-0000-0000FE110000}"/>
    <cellStyle name="20% - Accent5 7 10" xfId="9503" xr:uid="{00000000-0005-0000-0000-0000FF110000}"/>
    <cellStyle name="20% - Accent5 7 10 2" xfId="9504" xr:uid="{00000000-0005-0000-0000-000000120000}"/>
    <cellStyle name="20% - Accent5 7 10 3" xfId="9505" xr:uid="{00000000-0005-0000-0000-000001120000}"/>
    <cellStyle name="20% - Accent5 7 11" xfId="9506" xr:uid="{00000000-0005-0000-0000-000002120000}"/>
    <cellStyle name="20% - Accent5 7 11 2" xfId="9507" xr:uid="{00000000-0005-0000-0000-000003120000}"/>
    <cellStyle name="20% - Accent5 7 11 3" xfId="9508" xr:uid="{00000000-0005-0000-0000-000004120000}"/>
    <cellStyle name="20% - Accent5 7 12" xfId="9509" xr:uid="{00000000-0005-0000-0000-000005120000}"/>
    <cellStyle name="20% - Accent5 7 12 2" xfId="9510" xr:uid="{00000000-0005-0000-0000-000006120000}"/>
    <cellStyle name="20% - Accent5 7 12 3" xfId="9511" xr:uid="{00000000-0005-0000-0000-000007120000}"/>
    <cellStyle name="20% - Accent5 7 13" xfId="9512" xr:uid="{00000000-0005-0000-0000-000008120000}"/>
    <cellStyle name="20% - Accent5 7 14" xfId="9513" xr:uid="{00000000-0005-0000-0000-000009120000}"/>
    <cellStyle name="20% - Accent5 7 15" xfId="9514" xr:uid="{00000000-0005-0000-0000-00000A120000}"/>
    <cellStyle name="20% - Accent5 7 16" xfId="9515" xr:uid="{00000000-0005-0000-0000-00000B120000}"/>
    <cellStyle name="20% - Accent5 7 2" xfId="4410" xr:uid="{00000000-0005-0000-0000-00000C120000}"/>
    <cellStyle name="20% - Accent5 7 2 2" xfId="9517" xr:uid="{00000000-0005-0000-0000-00000D120000}"/>
    <cellStyle name="20% - Accent5 7 2 3" xfId="9518" xr:uid="{00000000-0005-0000-0000-00000E120000}"/>
    <cellStyle name="20% - Accent5 7 2 4" xfId="9516" xr:uid="{00000000-0005-0000-0000-00000F120000}"/>
    <cellStyle name="20% - Accent5 7 3" xfId="9519" xr:uid="{00000000-0005-0000-0000-000010120000}"/>
    <cellStyle name="20% - Accent5 7 3 2" xfId="9520" xr:uid="{00000000-0005-0000-0000-000011120000}"/>
    <cellStyle name="20% - Accent5 7 3 3" xfId="9521" xr:uid="{00000000-0005-0000-0000-000012120000}"/>
    <cellStyle name="20% - Accent5 7 4" xfId="9522" xr:uid="{00000000-0005-0000-0000-000013120000}"/>
    <cellStyle name="20% - Accent5 7 4 2" xfId="9523" xr:uid="{00000000-0005-0000-0000-000014120000}"/>
    <cellStyle name="20% - Accent5 7 4 3" xfId="9524" xr:uid="{00000000-0005-0000-0000-000015120000}"/>
    <cellStyle name="20% - Accent5 7 5" xfId="9525" xr:uid="{00000000-0005-0000-0000-000016120000}"/>
    <cellStyle name="20% - Accent5 7 5 2" xfId="9526" xr:uid="{00000000-0005-0000-0000-000017120000}"/>
    <cellStyle name="20% - Accent5 7 5 3" xfId="9527" xr:uid="{00000000-0005-0000-0000-000018120000}"/>
    <cellStyle name="20% - Accent5 7 6" xfId="9528" xr:uid="{00000000-0005-0000-0000-000019120000}"/>
    <cellStyle name="20% - Accent5 7 6 2" xfId="9529" xr:uid="{00000000-0005-0000-0000-00001A120000}"/>
    <cellStyle name="20% - Accent5 7 6 3" xfId="9530" xr:uid="{00000000-0005-0000-0000-00001B120000}"/>
    <cellStyle name="20% - Accent5 7 7" xfId="9531" xr:uid="{00000000-0005-0000-0000-00001C120000}"/>
    <cellStyle name="20% - Accent5 7 7 2" xfId="9532" xr:uid="{00000000-0005-0000-0000-00001D120000}"/>
    <cellStyle name="20% - Accent5 7 7 3" xfId="9533" xr:uid="{00000000-0005-0000-0000-00001E120000}"/>
    <cellStyle name="20% - Accent5 7 8" xfId="9534" xr:uid="{00000000-0005-0000-0000-00001F120000}"/>
    <cellStyle name="20% - Accent5 7 8 2" xfId="9535" xr:uid="{00000000-0005-0000-0000-000020120000}"/>
    <cellStyle name="20% - Accent5 7 8 3" xfId="9536" xr:uid="{00000000-0005-0000-0000-000021120000}"/>
    <cellStyle name="20% - Accent5 7 9" xfId="9537" xr:uid="{00000000-0005-0000-0000-000022120000}"/>
    <cellStyle name="20% - Accent5 7 9 2" xfId="9538" xr:uid="{00000000-0005-0000-0000-000023120000}"/>
    <cellStyle name="20% - Accent5 7 9 3" xfId="9539" xr:uid="{00000000-0005-0000-0000-000024120000}"/>
    <cellStyle name="20% - Accent5 8" xfId="532" xr:uid="{00000000-0005-0000-0000-000025120000}"/>
    <cellStyle name="20% - Accent5 8 10" xfId="24849" xr:uid="{00000000-0005-0000-0000-000026120000}"/>
    <cellStyle name="20% - Accent5 8 11" xfId="25887" xr:uid="{00000000-0005-0000-0000-000027120000}"/>
    <cellStyle name="20% - Accent5 8 12" xfId="28514" xr:uid="{00000000-0005-0000-0000-000028120000}"/>
    <cellStyle name="20% - Accent5 8 2" xfId="1380" xr:uid="{00000000-0005-0000-0000-000029120000}"/>
    <cellStyle name="20% - Accent5 8 2 10" xfId="25888" xr:uid="{00000000-0005-0000-0000-00002A120000}"/>
    <cellStyle name="20% - Accent5 8 2 11" xfId="28515" xr:uid="{00000000-0005-0000-0000-00002B120000}"/>
    <cellStyle name="20% - Accent5 8 2 2" xfId="4180" xr:uid="{00000000-0005-0000-0000-00002C120000}"/>
    <cellStyle name="20% - Accent5 8 2 2 2" xfId="5362" xr:uid="{00000000-0005-0000-0000-00002D120000}"/>
    <cellStyle name="20% - Accent5 8 2 2 2 2" xfId="6151" xr:uid="{00000000-0005-0000-0000-00002E120000}"/>
    <cellStyle name="20% - Accent5 8 2 2 2 2 2" xfId="25891" xr:uid="{00000000-0005-0000-0000-00002F120000}"/>
    <cellStyle name="20% - Accent5 8 2 2 2 3" xfId="9543" xr:uid="{00000000-0005-0000-0000-000030120000}"/>
    <cellStyle name="20% - Accent5 8 2 2 2 4" xfId="25890" xr:uid="{00000000-0005-0000-0000-000031120000}"/>
    <cellStyle name="20% - Accent5 8 2 2 3" xfId="5672" xr:uid="{00000000-0005-0000-0000-000032120000}"/>
    <cellStyle name="20% - Accent5 8 2 2 3 2" xfId="6152" xr:uid="{00000000-0005-0000-0000-000033120000}"/>
    <cellStyle name="20% - Accent5 8 2 2 3 2 2" xfId="25893" xr:uid="{00000000-0005-0000-0000-000034120000}"/>
    <cellStyle name="20% - Accent5 8 2 2 3 3" xfId="25892" xr:uid="{00000000-0005-0000-0000-000035120000}"/>
    <cellStyle name="20% - Accent5 8 2 2 4" xfId="4413" xr:uid="{00000000-0005-0000-0000-000036120000}"/>
    <cellStyle name="20% - Accent5 8 2 2 4 2" xfId="6153" xr:uid="{00000000-0005-0000-0000-000037120000}"/>
    <cellStyle name="20% - Accent5 8 2 2 4 2 2" xfId="25895" xr:uid="{00000000-0005-0000-0000-000038120000}"/>
    <cellStyle name="20% - Accent5 8 2 2 4 3" xfId="25894" xr:uid="{00000000-0005-0000-0000-000039120000}"/>
    <cellStyle name="20% - Accent5 8 2 2 5" xfId="6150" xr:uid="{00000000-0005-0000-0000-00003A120000}"/>
    <cellStyle name="20% - Accent5 8 2 2 5 2" xfId="25896" xr:uid="{00000000-0005-0000-0000-00003B120000}"/>
    <cellStyle name="20% - Accent5 8 2 2 6" xfId="9542" xr:uid="{00000000-0005-0000-0000-00003C120000}"/>
    <cellStyle name="20% - Accent5 8 2 2 6 2" xfId="25897" xr:uid="{00000000-0005-0000-0000-00003D120000}"/>
    <cellStyle name="20% - Accent5 8 2 2 7" xfId="25032" xr:uid="{00000000-0005-0000-0000-00003E120000}"/>
    <cellStyle name="20% - Accent5 8 2 2 8" xfId="25889" xr:uid="{00000000-0005-0000-0000-00003F120000}"/>
    <cellStyle name="20% - Accent5 8 2 2 9" xfId="28516" xr:uid="{00000000-0005-0000-0000-000040120000}"/>
    <cellStyle name="20% - Accent5 8 2 3" xfId="5361" xr:uid="{00000000-0005-0000-0000-000041120000}"/>
    <cellStyle name="20% - Accent5 8 2 3 2" xfId="6154" xr:uid="{00000000-0005-0000-0000-000042120000}"/>
    <cellStyle name="20% - Accent5 8 2 3 2 2" xfId="25899" xr:uid="{00000000-0005-0000-0000-000043120000}"/>
    <cellStyle name="20% - Accent5 8 2 3 3" xfId="9544" xr:uid="{00000000-0005-0000-0000-000044120000}"/>
    <cellStyle name="20% - Accent5 8 2 3 4" xfId="25898" xr:uid="{00000000-0005-0000-0000-000045120000}"/>
    <cellStyle name="20% - Accent5 8 2 4" xfId="5671" xr:uid="{00000000-0005-0000-0000-000046120000}"/>
    <cellStyle name="20% - Accent5 8 2 4 2" xfId="6155" xr:uid="{00000000-0005-0000-0000-000047120000}"/>
    <cellStyle name="20% - Accent5 8 2 4 2 2" xfId="25901" xr:uid="{00000000-0005-0000-0000-000048120000}"/>
    <cellStyle name="20% - Accent5 8 2 4 3" xfId="9545" xr:uid="{00000000-0005-0000-0000-000049120000}"/>
    <cellStyle name="20% - Accent5 8 2 4 4" xfId="25900" xr:uid="{00000000-0005-0000-0000-00004A120000}"/>
    <cellStyle name="20% - Accent5 8 2 5" xfId="4412" xr:uid="{00000000-0005-0000-0000-00004B120000}"/>
    <cellStyle name="20% - Accent5 8 2 5 2" xfId="6156" xr:uid="{00000000-0005-0000-0000-00004C120000}"/>
    <cellStyle name="20% - Accent5 8 2 5 2 2" xfId="9547" xr:uid="{00000000-0005-0000-0000-00004D120000}"/>
    <cellStyle name="20% - Accent5 8 2 5 2 2 2" xfId="25904" xr:uid="{00000000-0005-0000-0000-00004E120000}"/>
    <cellStyle name="20% - Accent5 8 2 5 2 3" xfId="25903" xr:uid="{00000000-0005-0000-0000-00004F120000}"/>
    <cellStyle name="20% - Accent5 8 2 5 2 4" xfId="28518" xr:uid="{00000000-0005-0000-0000-000050120000}"/>
    <cellStyle name="20% - Accent5 8 2 5 3" xfId="9548" xr:uid="{00000000-0005-0000-0000-000051120000}"/>
    <cellStyle name="20% - Accent5 8 2 5 3 2" xfId="25905" xr:uid="{00000000-0005-0000-0000-000052120000}"/>
    <cellStyle name="20% - Accent5 8 2 5 3 3" xfId="28519" xr:uid="{00000000-0005-0000-0000-000053120000}"/>
    <cellStyle name="20% - Accent5 8 2 5 4" xfId="9546" xr:uid="{00000000-0005-0000-0000-000054120000}"/>
    <cellStyle name="20% - Accent5 8 2 5 4 2" xfId="25906" xr:uid="{00000000-0005-0000-0000-000055120000}"/>
    <cellStyle name="20% - Accent5 8 2 5 5" xfId="25902" xr:uid="{00000000-0005-0000-0000-000056120000}"/>
    <cellStyle name="20% - Accent5 8 2 5 6" xfId="28517" xr:uid="{00000000-0005-0000-0000-000057120000}"/>
    <cellStyle name="20% - Accent5 8 2 6" xfId="6149" xr:uid="{00000000-0005-0000-0000-000058120000}"/>
    <cellStyle name="20% - Accent5 8 2 6 2" xfId="9549" xr:uid="{00000000-0005-0000-0000-000059120000}"/>
    <cellStyle name="20% - Accent5 8 2 6 2 2" xfId="25908" xr:uid="{00000000-0005-0000-0000-00005A120000}"/>
    <cellStyle name="20% - Accent5 8 2 6 3" xfId="25907" xr:uid="{00000000-0005-0000-0000-00005B120000}"/>
    <cellStyle name="20% - Accent5 8 2 6 4" xfId="28520" xr:uid="{00000000-0005-0000-0000-00005C120000}"/>
    <cellStyle name="20% - Accent5 8 2 7" xfId="9550" xr:uid="{00000000-0005-0000-0000-00005D120000}"/>
    <cellStyle name="20% - Accent5 8 2 7 2" xfId="25909" xr:uid="{00000000-0005-0000-0000-00005E120000}"/>
    <cellStyle name="20% - Accent5 8 2 7 3" xfId="28521" xr:uid="{00000000-0005-0000-0000-00005F120000}"/>
    <cellStyle name="20% - Accent5 8 2 8" xfId="9541" xr:uid="{00000000-0005-0000-0000-000060120000}"/>
    <cellStyle name="20% - Accent5 8 2 8 2" xfId="25910" xr:uid="{00000000-0005-0000-0000-000061120000}"/>
    <cellStyle name="20% - Accent5 8 2 9" xfId="24912" xr:uid="{00000000-0005-0000-0000-000062120000}"/>
    <cellStyle name="20% - Accent5 8 3" xfId="3835" xr:uid="{00000000-0005-0000-0000-000063120000}"/>
    <cellStyle name="20% - Accent5 8 3 2" xfId="5363" xr:uid="{00000000-0005-0000-0000-000064120000}"/>
    <cellStyle name="20% - Accent5 8 3 2 2" xfId="6158" xr:uid="{00000000-0005-0000-0000-000065120000}"/>
    <cellStyle name="20% - Accent5 8 3 2 2 2" xfId="25913" xr:uid="{00000000-0005-0000-0000-000066120000}"/>
    <cellStyle name="20% - Accent5 8 3 2 3" xfId="9552" xr:uid="{00000000-0005-0000-0000-000067120000}"/>
    <cellStyle name="20% - Accent5 8 3 2 4" xfId="25912" xr:uid="{00000000-0005-0000-0000-000068120000}"/>
    <cellStyle name="20% - Accent5 8 3 3" xfId="5673" xr:uid="{00000000-0005-0000-0000-000069120000}"/>
    <cellStyle name="20% - Accent5 8 3 3 2" xfId="6159" xr:uid="{00000000-0005-0000-0000-00006A120000}"/>
    <cellStyle name="20% - Accent5 8 3 3 2 2" xfId="25915" xr:uid="{00000000-0005-0000-0000-00006B120000}"/>
    <cellStyle name="20% - Accent5 8 3 3 3" xfId="25914" xr:uid="{00000000-0005-0000-0000-00006C120000}"/>
    <cellStyle name="20% - Accent5 8 3 4" xfId="4414" xr:uid="{00000000-0005-0000-0000-00006D120000}"/>
    <cellStyle name="20% - Accent5 8 3 4 2" xfId="6160" xr:uid="{00000000-0005-0000-0000-00006E120000}"/>
    <cellStyle name="20% - Accent5 8 3 4 2 2" xfId="25917" xr:uid="{00000000-0005-0000-0000-00006F120000}"/>
    <cellStyle name="20% - Accent5 8 3 4 3" xfId="25916" xr:uid="{00000000-0005-0000-0000-000070120000}"/>
    <cellStyle name="20% - Accent5 8 3 5" xfId="6157" xr:uid="{00000000-0005-0000-0000-000071120000}"/>
    <cellStyle name="20% - Accent5 8 3 5 2" xfId="25918" xr:uid="{00000000-0005-0000-0000-000072120000}"/>
    <cellStyle name="20% - Accent5 8 3 6" xfId="9551" xr:uid="{00000000-0005-0000-0000-000073120000}"/>
    <cellStyle name="20% - Accent5 8 3 6 2" xfId="25919" xr:uid="{00000000-0005-0000-0000-000074120000}"/>
    <cellStyle name="20% - Accent5 8 3 7" xfId="24971" xr:uid="{00000000-0005-0000-0000-000075120000}"/>
    <cellStyle name="20% - Accent5 8 3 8" xfId="25911" xr:uid="{00000000-0005-0000-0000-000076120000}"/>
    <cellStyle name="20% - Accent5 8 3 9" xfId="28522" xr:uid="{00000000-0005-0000-0000-000077120000}"/>
    <cellStyle name="20% - Accent5 8 4" xfId="5360" xr:uid="{00000000-0005-0000-0000-000078120000}"/>
    <cellStyle name="20% - Accent5 8 4 2" xfId="6161" xr:uid="{00000000-0005-0000-0000-000079120000}"/>
    <cellStyle name="20% - Accent5 8 4 2 2" xfId="25921" xr:uid="{00000000-0005-0000-0000-00007A120000}"/>
    <cellStyle name="20% - Accent5 8 4 3" xfId="9553" xr:uid="{00000000-0005-0000-0000-00007B120000}"/>
    <cellStyle name="20% - Accent5 8 4 4" xfId="25920" xr:uid="{00000000-0005-0000-0000-00007C120000}"/>
    <cellStyle name="20% - Accent5 8 5" xfId="5670" xr:uid="{00000000-0005-0000-0000-00007D120000}"/>
    <cellStyle name="20% - Accent5 8 5 2" xfId="6162" xr:uid="{00000000-0005-0000-0000-00007E120000}"/>
    <cellStyle name="20% - Accent5 8 5 2 2" xfId="25923" xr:uid="{00000000-0005-0000-0000-00007F120000}"/>
    <cellStyle name="20% - Accent5 8 5 3" xfId="9554" xr:uid="{00000000-0005-0000-0000-000080120000}"/>
    <cellStyle name="20% - Accent5 8 5 4" xfId="25922" xr:uid="{00000000-0005-0000-0000-000081120000}"/>
    <cellStyle name="20% - Accent5 8 6" xfId="4411" xr:uid="{00000000-0005-0000-0000-000082120000}"/>
    <cellStyle name="20% - Accent5 8 6 2" xfId="6163" xr:uid="{00000000-0005-0000-0000-000083120000}"/>
    <cellStyle name="20% - Accent5 8 6 2 2" xfId="9556" xr:uid="{00000000-0005-0000-0000-000084120000}"/>
    <cellStyle name="20% - Accent5 8 6 2 2 2" xfId="25926" xr:uid="{00000000-0005-0000-0000-000085120000}"/>
    <cellStyle name="20% - Accent5 8 6 2 3" xfId="25925" xr:uid="{00000000-0005-0000-0000-000086120000}"/>
    <cellStyle name="20% - Accent5 8 6 2 4" xfId="28524" xr:uid="{00000000-0005-0000-0000-000087120000}"/>
    <cellStyle name="20% - Accent5 8 6 3" xfId="9557" xr:uid="{00000000-0005-0000-0000-000088120000}"/>
    <cellStyle name="20% - Accent5 8 6 3 2" xfId="25927" xr:uid="{00000000-0005-0000-0000-000089120000}"/>
    <cellStyle name="20% - Accent5 8 6 3 3" xfId="28525" xr:uid="{00000000-0005-0000-0000-00008A120000}"/>
    <cellStyle name="20% - Accent5 8 6 4" xfId="9555" xr:uid="{00000000-0005-0000-0000-00008B120000}"/>
    <cellStyle name="20% - Accent5 8 6 4 2" xfId="25928" xr:uid="{00000000-0005-0000-0000-00008C120000}"/>
    <cellStyle name="20% - Accent5 8 6 5" xfId="25924" xr:uid="{00000000-0005-0000-0000-00008D120000}"/>
    <cellStyle name="20% - Accent5 8 6 6" xfId="28523" xr:uid="{00000000-0005-0000-0000-00008E120000}"/>
    <cellStyle name="20% - Accent5 8 7" xfId="6148" xr:uid="{00000000-0005-0000-0000-00008F120000}"/>
    <cellStyle name="20% - Accent5 8 7 2" xfId="9558" xr:uid="{00000000-0005-0000-0000-000090120000}"/>
    <cellStyle name="20% - Accent5 8 7 2 2" xfId="25930" xr:uid="{00000000-0005-0000-0000-000091120000}"/>
    <cellStyle name="20% - Accent5 8 7 3" xfId="25929" xr:uid="{00000000-0005-0000-0000-000092120000}"/>
    <cellStyle name="20% - Accent5 8 7 4" xfId="28526" xr:uid="{00000000-0005-0000-0000-000093120000}"/>
    <cellStyle name="20% - Accent5 8 8" xfId="9559" xr:uid="{00000000-0005-0000-0000-000094120000}"/>
    <cellStyle name="20% - Accent5 8 8 2" xfId="25931" xr:uid="{00000000-0005-0000-0000-000095120000}"/>
    <cellStyle name="20% - Accent5 8 8 3" xfId="28527" xr:uid="{00000000-0005-0000-0000-000096120000}"/>
    <cellStyle name="20% - Accent5 8 9" xfId="9540" xr:uid="{00000000-0005-0000-0000-000097120000}"/>
    <cellStyle name="20% - Accent5 8 9 2" xfId="25932" xr:uid="{00000000-0005-0000-0000-000098120000}"/>
    <cellStyle name="20% - Accent5 9" xfId="533" xr:uid="{00000000-0005-0000-0000-000099120000}"/>
    <cellStyle name="20% - Accent5 9 2" xfId="4415" xr:uid="{00000000-0005-0000-0000-00009A120000}"/>
    <cellStyle name="20% - Accent5 9 2 2" xfId="9561" xr:uid="{00000000-0005-0000-0000-00009B120000}"/>
    <cellStyle name="20% - Accent5 9 2 3" xfId="9562" xr:uid="{00000000-0005-0000-0000-00009C120000}"/>
    <cellStyle name="20% - Accent5 9 2 4" xfId="9560" xr:uid="{00000000-0005-0000-0000-00009D120000}"/>
    <cellStyle name="20% - Accent5 9 3" xfId="9563" xr:uid="{00000000-0005-0000-0000-00009E120000}"/>
    <cellStyle name="20% - Accent5 9 4" xfId="9564" xr:uid="{00000000-0005-0000-0000-00009F120000}"/>
    <cellStyle name="20% - Accent5 9 5" xfId="9565" xr:uid="{00000000-0005-0000-0000-0000A0120000}"/>
    <cellStyle name="20% - Accent5 9 6" xfId="9566" xr:uid="{00000000-0005-0000-0000-0000A1120000}"/>
    <cellStyle name="20% - Accent6" xfId="7112" builtinId="50" customBuiltin="1"/>
    <cellStyle name="20% - Accent6 10" xfId="660" xr:uid="{00000000-0005-0000-0000-0000A3120000}"/>
    <cellStyle name="20% - Accent6 10 2" xfId="4416" xr:uid="{00000000-0005-0000-0000-0000A4120000}"/>
    <cellStyle name="20% - Accent6 10 2 2" xfId="9567" xr:uid="{00000000-0005-0000-0000-0000A5120000}"/>
    <cellStyle name="20% - Accent6 10 3" xfId="9568" xr:uid="{00000000-0005-0000-0000-0000A6120000}"/>
    <cellStyle name="20% - Accent6 10 4" xfId="9569" xr:uid="{00000000-0005-0000-0000-0000A7120000}"/>
    <cellStyle name="20% - Accent6 10 5" xfId="9570" xr:uid="{00000000-0005-0000-0000-0000A8120000}"/>
    <cellStyle name="20% - Accent6 11" xfId="661" xr:uid="{00000000-0005-0000-0000-0000A9120000}"/>
    <cellStyle name="20% - Accent6 11 2" xfId="4417" xr:uid="{00000000-0005-0000-0000-0000AA120000}"/>
    <cellStyle name="20% - Accent6 11 2 2" xfId="9571" xr:uid="{00000000-0005-0000-0000-0000AB120000}"/>
    <cellStyle name="20% - Accent6 11 3" xfId="9572" xr:uid="{00000000-0005-0000-0000-0000AC120000}"/>
    <cellStyle name="20% - Accent6 11 4" xfId="9573" xr:uid="{00000000-0005-0000-0000-0000AD120000}"/>
    <cellStyle name="20% - Accent6 11 5" xfId="9574" xr:uid="{00000000-0005-0000-0000-0000AE120000}"/>
    <cellStyle name="20% - Accent6 12" xfId="813" xr:uid="{00000000-0005-0000-0000-0000AF120000}"/>
    <cellStyle name="20% - Accent6 12 2" xfId="9576" xr:uid="{00000000-0005-0000-0000-0000B0120000}"/>
    <cellStyle name="20% - Accent6 12 3" xfId="9577" xr:uid="{00000000-0005-0000-0000-0000B1120000}"/>
    <cellStyle name="20% - Accent6 12 4" xfId="9575" xr:uid="{00000000-0005-0000-0000-0000B2120000}"/>
    <cellStyle name="20% - Accent6 13" xfId="814" xr:uid="{00000000-0005-0000-0000-0000B3120000}"/>
    <cellStyle name="20% - Accent6 13 2" xfId="3850" xr:uid="{00000000-0005-0000-0000-0000B4120000}"/>
    <cellStyle name="20% - Accent6 13 2 2" xfId="6165" xr:uid="{00000000-0005-0000-0000-0000B5120000}"/>
    <cellStyle name="20% - Accent6 13 2 2 2" xfId="25935" xr:uid="{00000000-0005-0000-0000-0000B6120000}"/>
    <cellStyle name="20% - Accent6 13 2 3" xfId="9579" xr:uid="{00000000-0005-0000-0000-0000B7120000}"/>
    <cellStyle name="20% - Accent6 13 2 4" xfId="24986" xr:uid="{00000000-0005-0000-0000-0000B8120000}"/>
    <cellStyle name="20% - Accent6 13 2 5" xfId="25934" xr:uid="{00000000-0005-0000-0000-0000B9120000}"/>
    <cellStyle name="20% - Accent6 13 3" xfId="6164" xr:uid="{00000000-0005-0000-0000-0000BA120000}"/>
    <cellStyle name="20% - Accent6 13 3 2" xfId="9580" xr:uid="{00000000-0005-0000-0000-0000BB120000}"/>
    <cellStyle name="20% - Accent6 13 3 3" xfId="25936" xr:uid="{00000000-0005-0000-0000-0000BC120000}"/>
    <cellStyle name="20% - Accent6 13 4" xfId="9578" xr:uid="{00000000-0005-0000-0000-0000BD120000}"/>
    <cellStyle name="20% - Accent6 13 5" xfId="24865" xr:uid="{00000000-0005-0000-0000-0000BE120000}"/>
    <cellStyle name="20% - Accent6 13 6" xfId="25933" xr:uid="{00000000-0005-0000-0000-0000BF120000}"/>
    <cellStyle name="20% - Accent6 14" xfId="931" xr:uid="{00000000-0005-0000-0000-0000C0120000}"/>
    <cellStyle name="20% - Accent6 14 2" xfId="9582" xr:uid="{00000000-0005-0000-0000-0000C1120000}"/>
    <cellStyle name="20% - Accent6 14 3" xfId="9583" xr:uid="{00000000-0005-0000-0000-0000C2120000}"/>
    <cellStyle name="20% - Accent6 14 4" xfId="9581" xr:uid="{00000000-0005-0000-0000-0000C3120000}"/>
    <cellStyle name="20% - Accent6 15" xfId="9584" xr:uid="{00000000-0005-0000-0000-0000C4120000}"/>
    <cellStyle name="20% - Accent6 15 2" xfId="9585" xr:uid="{00000000-0005-0000-0000-0000C5120000}"/>
    <cellStyle name="20% - Accent6 15 3" xfId="9586" xr:uid="{00000000-0005-0000-0000-0000C6120000}"/>
    <cellStyle name="20% - Accent6 16" xfId="9587" xr:uid="{00000000-0005-0000-0000-0000C7120000}"/>
    <cellStyle name="20% - Accent6 16 2" xfId="9588" xr:uid="{00000000-0005-0000-0000-0000C8120000}"/>
    <cellStyle name="20% - Accent6 16 3" xfId="9589" xr:uid="{00000000-0005-0000-0000-0000C9120000}"/>
    <cellStyle name="20% - Accent6 17" xfId="9590" xr:uid="{00000000-0005-0000-0000-0000CA120000}"/>
    <cellStyle name="20% - Accent6 17 2" xfId="9591" xr:uid="{00000000-0005-0000-0000-0000CB120000}"/>
    <cellStyle name="20% - Accent6 17 3" xfId="9592" xr:uid="{00000000-0005-0000-0000-0000CC120000}"/>
    <cellStyle name="20% - Accent6 18" xfId="9593" xr:uid="{00000000-0005-0000-0000-0000CD120000}"/>
    <cellStyle name="20% - Accent6 18 2" xfId="9594" xr:uid="{00000000-0005-0000-0000-0000CE120000}"/>
    <cellStyle name="20% - Accent6 18 3" xfId="9595" xr:uid="{00000000-0005-0000-0000-0000CF120000}"/>
    <cellStyle name="20% - Accent6 19" xfId="9596" xr:uid="{00000000-0005-0000-0000-0000D0120000}"/>
    <cellStyle name="20% - Accent6 19 2" xfId="9597" xr:uid="{00000000-0005-0000-0000-0000D1120000}"/>
    <cellStyle name="20% - Accent6 2" xfId="73" xr:uid="{00000000-0005-0000-0000-0000D2120000}"/>
    <cellStyle name="20% - Accent6 2 10" xfId="1672" xr:uid="{00000000-0005-0000-0000-0000D3120000}"/>
    <cellStyle name="20% - Accent6 2 10 2" xfId="4418" xr:uid="{00000000-0005-0000-0000-0000D4120000}"/>
    <cellStyle name="20% - Accent6 2 10 2 2" xfId="9598" xr:uid="{00000000-0005-0000-0000-0000D5120000}"/>
    <cellStyle name="20% - Accent6 2 10 3" xfId="9599" xr:uid="{00000000-0005-0000-0000-0000D6120000}"/>
    <cellStyle name="20% - Accent6 2 10 4" xfId="9600" xr:uid="{00000000-0005-0000-0000-0000D7120000}"/>
    <cellStyle name="20% - Accent6 2 10 5" xfId="9601" xr:uid="{00000000-0005-0000-0000-0000D8120000}"/>
    <cellStyle name="20% - Accent6 2 11" xfId="1846" xr:uid="{00000000-0005-0000-0000-0000D9120000}"/>
    <cellStyle name="20% - Accent6 2 11 2" xfId="4419" xr:uid="{00000000-0005-0000-0000-0000DA120000}"/>
    <cellStyle name="20% - Accent6 2 11 2 2" xfId="9602" xr:uid="{00000000-0005-0000-0000-0000DB120000}"/>
    <cellStyle name="20% - Accent6 2 11 3" xfId="9603" xr:uid="{00000000-0005-0000-0000-0000DC120000}"/>
    <cellStyle name="20% - Accent6 2 11 4" xfId="9604" xr:uid="{00000000-0005-0000-0000-0000DD120000}"/>
    <cellStyle name="20% - Accent6 2 11 5" xfId="9605" xr:uid="{00000000-0005-0000-0000-0000DE120000}"/>
    <cellStyle name="20% - Accent6 2 12" xfId="2298" xr:uid="{00000000-0005-0000-0000-0000DF120000}"/>
    <cellStyle name="20% - Accent6 2 12 2" xfId="4420" xr:uid="{00000000-0005-0000-0000-0000E0120000}"/>
    <cellStyle name="20% - Accent6 2 12 2 2" xfId="9606" xr:uid="{00000000-0005-0000-0000-0000E1120000}"/>
    <cellStyle name="20% - Accent6 2 12 3" xfId="9607" xr:uid="{00000000-0005-0000-0000-0000E2120000}"/>
    <cellStyle name="20% - Accent6 2 12 4" xfId="9608" xr:uid="{00000000-0005-0000-0000-0000E3120000}"/>
    <cellStyle name="20% - Accent6 2 12 5" xfId="9609" xr:uid="{00000000-0005-0000-0000-0000E4120000}"/>
    <cellStyle name="20% - Accent6 2 13" xfId="2671" xr:uid="{00000000-0005-0000-0000-0000E5120000}"/>
    <cellStyle name="20% - Accent6 2 13 2" xfId="4421" xr:uid="{00000000-0005-0000-0000-0000E6120000}"/>
    <cellStyle name="20% - Accent6 2 13 2 2" xfId="9610" xr:uid="{00000000-0005-0000-0000-0000E7120000}"/>
    <cellStyle name="20% - Accent6 2 13 3" xfId="9611" xr:uid="{00000000-0005-0000-0000-0000E8120000}"/>
    <cellStyle name="20% - Accent6 2 13 4" xfId="9612" xr:uid="{00000000-0005-0000-0000-0000E9120000}"/>
    <cellStyle name="20% - Accent6 2 13 5" xfId="9613" xr:uid="{00000000-0005-0000-0000-0000EA120000}"/>
    <cellStyle name="20% - Accent6 2 14" xfId="2967" xr:uid="{00000000-0005-0000-0000-0000EB120000}"/>
    <cellStyle name="20% - Accent6 2 14 2" xfId="4422" xr:uid="{00000000-0005-0000-0000-0000EC120000}"/>
    <cellStyle name="20% - Accent6 2 14 2 2" xfId="9614" xr:uid="{00000000-0005-0000-0000-0000ED120000}"/>
    <cellStyle name="20% - Accent6 2 14 3" xfId="9615" xr:uid="{00000000-0005-0000-0000-0000EE120000}"/>
    <cellStyle name="20% - Accent6 2 14 4" xfId="9616" xr:uid="{00000000-0005-0000-0000-0000EF120000}"/>
    <cellStyle name="20% - Accent6 2 14 5" xfId="9617" xr:uid="{00000000-0005-0000-0000-0000F0120000}"/>
    <cellStyle name="20% - Accent6 2 15" xfId="3339" xr:uid="{00000000-0005-0000-0000-0000F1120000}"/>
    <cellStyle name="20% - Accent6 2 15 2" xfId="4423" xr:uid="{00000000-0005-0000-0000-0000F2120000}"/>
    <cellStyle name="20% - Accent6 2 15 2 2" xfId="9618" xr:uid="{00000000-0005-0000-0000-0000F3120000}"/>
    <cellStyle name="20% - Accent6 2 15 3" xfId="9619" xr:uid="{00000000-0005-0000-0000-0000F4120000}"/>
    <cellStyle name="20% - Accent6 2 16" xfId="3637" xr:uid="{00000000-0005-0000-0000-0000F5120000}"/>
    <cellStyle name="20% - Accent6 2 16 2" xfId="4424" xr:uid="{00000000-0005-0000-0000-0000F6120000}"/>
    <cellStyle name="20% - Accent6 2 16 2 2" xfId="9620" xr:uid="{00000000-0005-0000-0000-0000F7120000}"/>
    <cellStyle name="20% - Accent6 2 16 3" xfId="9621" xr:uid="{00000000-0005-0000-0000-0000F8120000}"/>
    <cellStyle name="20% - Accent6 2 17" xfId="24472" xr:uid="{00000000-0005-0000-0000-0000F9120000}"/>
    <cellStyle name="20% - Accent6 2 2" xfId="117" xr:uid="{00000000-0005-0000-0000-0000FA120000}"/>
    <cellStyle name="20% - Accent6 2 2 10" xfId="9622" xr:uid="{00000000-0005-0000-0000-0000FB120000}"/>
    <cellStyle name="20% - Accent6 2 2 10 2" xfId="9623" xr:uid="{00000000-0005-0000-0000-0000FC120000}"/>
    <cellStyle name="20% - Accent6 2 2 10 3" xfId="9624" xr:uid="{00000000-0005-0000-0000-0000FD120000}"/>
    <cellStyle name="20% - Accent6 2 2 11" xfId="9625" xr:uid="{00000000-0005-0000-0000-0000FE120000}"/>
    <cellStyle name="20% - Accent6 2 2 11 2" xfId="9626" xr:uid="{00000000-0005-0000-0000-0000FF120000}"/>
    <cellStyle name="20% - Accent6 2 2 11 3" xfId="9627" xr:uid="{00000000-0005-0000-0000-000000130000}"/>
    <cellStyle name="20% - Accent6 2 2 12" xfId="9628" xr:uid="{00000000-0005-0000-0000-000001130000}"/>
    <cellStyle name="20% - Accent6 2 2 12 2" xfId="9629" xr:uid="{00000000-0005-0000-0000-000002130000}"/>
    <cellStyle name="20% - Accent6 2 2 12 3" xfId="9630" xr:uid="{00000000-0005-0000-0000-000003130000}"/>
    <cellStyle name="20% - Accent6 2 2 13" xfId="9631" xr:uid="{00000000-0005-0000-0000-000004130000}"/>
    <cellStyle name="20% - Accent6 2 2 14" xfId="9632" xr:uid="{00000000-0005-0000-0000-000005130000}"/>
    <cellStyle name="20% - Accent6 2 2 15" xfId="9633" xr:uid="{00000000-0005-0000-0000-000006130000}"/>
    <cellStyle name="20% - Accent6 2 2 16" xfId="24572" xr:uid="{00000000-0005-0000-0000-000007130000}"/>
    <cellStyle name="20% - Accent6 2 2 2" xfId="191" xr:uid="{00000000-0005-0000-0000-000008130000}"/>
    <cellStyle name="20% - Accent6 2 2 2 2" xfId="9634" xr:uid="{00000000-0005-0000-0000-000009130000}"/>
    <cellStyle name="20% - Accent6 2 2 2 3" xfId="9635" xr:uid="{00000000-0005-0000-0000-00000A130000}"/>
    <cellStyle name="20% - Accent6 2 2 3" xfId="355" xr:uid="{00000000-0005-0000-0000-00000B130000}"/>
    <cellStyle name="20% - Accent6 2 2 3 2" xfId="9636" xr:uid="{00000000-0005-0000-0000-00000C130000}"/>
    <cellStyle name="20% - Accent6 2 2 3 3" xfId="9637" xr:uid="{00000000-0005-0000-0000-00000D130000}"/>
    <cellStyle name="20% - Accent6 2 2 4" xfId="2177" xr:uid="{00000000-0005-0000-0000-00000E130000}"/>
    <cellStyle name="20% - Accent6 2 2 4 2" xfId="9638" xr:uid="{00000000-0005-0000-0000-00000F130000}"/>
    <cellStyle name="20% - Accent6 2 2 4 3" xfId="9639" xr:uid="{00000000-0005-0000-0000-000010130000}"/>
    <cellStyle name="20% - Accent6 2 2 5" xfId="2551" xr:uid="{00000000-0005-0000-0000-000011130000}"/>
    <cellStyle name="20% - Accent6 2 2 5 2" xfId="9640" xr:uid="{00000000-0005-0000-0000-000012130000}"/>
    <cellStyle name="20% - Accent6 2 2 5 3" xfId="9641" xr:uid="{00000000-0005-0000-0000-000013130000}"/>
    <cellStyle name="20% - Accent6 2 2 6" xfId="2923" xr:uid="{00000000-0005-0000-0000-000014130000}"/>
    <cellStyle name="20% - Accent6 2 2 6 2" xfId="9642" xr:uid="{00000000-0005-0000-0000-000015130000}"/>
    <cellStyle name="20% - Accent6 2 2 6 3" xfId="9643" xr:uid="{00000000-0005-0000-0000-000016130000}"/>
    <cellStyle name="20% - Accent6 2 2 7" xfId="3295" xr:uid="{00000000-0005-0000-0000-000017130000}"/>
    <cellStyle name="20% - Accent6 2 2 7 2" xfId="9644" xr:uid="{00000000-0005-0000-0000-000018130000}"/>
    <cellStyle name="20% - Accent6 2 2 7 3" xfId="9645" xr:uid="{00000000-0005-0000-0000-000019130000}"/>
    <cellStyle name="20% - Accent6 2 2 8" xfId="4425" xr:uid="{00000000-0005-0000-0000-00001A130000}"/>
    <cellStyle name="20% - Accent6 2 2 8 2" xfId="9647" xr:uid="{00000000-0005-0000-0000-00001B130000}"/>
    <cellStyle name="20% - Accent6 2 2 8 3" xfId="9648" xr:uid="{00000000-0005-0000-0000-00001C130000}"/>
    <cellStyle name="20% - Accent6 2 2 8 4" xfId="9646" xr:uid="{00000000-0005-0000-0000-00001D130000}"/>
    <cellStyle name="20% - Accent6 2 2 9" xfId="9649" xr:uid="{00000000-0005-0000-0000-00001E130000}"/>
    <cellStyle name="20% - Accent6 2 2 9 2" xfId="9650" xr:uid="{00000000-0005-0000-0000-00001F130000}"/>
    <cellStyle name="20% - Accent6 2 2 9 3" xfId="9651" xr:uid="{00000000-0005-0000-0000-000020130000}"/>
    <cellStyle name="20% - Accent6 2 3" xfId="282" xr:uid="{00000000-0005-0000-0000-000021130000}"/>
    <cellStyle name="20% - Accent6 2 3 2" xfId="1353" xr:uid="{00000000-0005-0000-0000-000022130000}"/>
    <cellStyle name="20% - Accent6 2 3 2 2" xfId="9652" xr:uid="{00000000-0005-0000-0000-000023130000}"/>
    <cellStyle name="20% - Accent6 2 3 2 3" xfId="9653" xr:uid="{00000000-0005-0000-0000-000024130000}"/>
    <cellStyle name="20% - Accent6 2 3 3" xfId="9654" xr:uid="{00000000-0005-0000-0000-000025130000}"/>
    <cellStyle name="20% - Accent6 2 3 4" xfId="9655" xr:uid="{00000000-0005-0000-0000-000026130000}"/>
    <cellStyle name="20% - Accent6 2 4" xfId="378" xr:uid="{00000000-0005-0000-0000-000027130000}"/>
    <cellStyle name="20% - Accent6 2 4 2" xfId="9656" xr:uid="{00000000-0005-0000-0000-000028130000}"/>
    <cellStyle name="20% - Accent6 2 4 2 2" xfId="9657" xr:uid="{00000000-0005-0000-0000-000029130000}"/>
    <cellStyle name="20% - Accent6 2 4 2 3" xfId="9658" xr:uid="{00000000-0005-0000-0000-00002A130000}"/>
    <cellStyle name="20% - Accent6 2 4 3" xfId="9659" xr:uid="{00000000-0005-0000-0000-00002B130000}"/>
    <cellStyle name="20% - Accent6 2 4 4" xfId="9660" xr:uid="{00000000-0005-0000-0000-00002C130000}"/>
    <cellStyle name="20% - Accent6 2 5" xfId="534" xr:uid="{00000000-0005-0000-0000-00002D130000}"/>
    <cellStyle name="20% - Accent6 2 5 2" xfId="9661" xr:uid="{00000000-0005-0000-0000-00002E130000}"/>
    <cellStyle name="20% - Accent6 2 5 3" xfId="9662" xr:uid="{00000000-0005-0000-0000-00002F130000}"/>
    <cellStyle name="20% - Accent6 2 6" xfId="662" xr:uid="{00000000-0005-0000-0000-000030130000}"/>
    <cellStyle name="20% - Accent6 2 6 2" xfId="9663" xr:uid="{00000000-0005-0000-0000-000031130000}"/>
    <cellStyle name="20% - Accent6 2 6 3" xfId="9664" xr:uid="{00000000-0005-0000-0000-000032130000}"/>
    <cellStyle name="20% - Accent6 2 7" xfId="663" xr:uid="{00000000-0005-0000-0000-000033130000}"/>
    <cellStyle name="20% - Accent6 2 7 2" xfId="9665" xr:uid="{00000000-0005-0000-0000-000034130000}"/>
    <cellStyle name="20% - Accent6 2 7 3" xfId="9666" xr:uid="{00000000-0005-0000-0000-000035130000}"/>
    <cellStyle name="20% - Accent6 2 8" xfId="815" xr:uid="{00000000-0005-0000-0000-000036130000}"/>
    <cellStyle name="20% - Accent6 2 8 2" xfId="1401" xr:uid="{00000000-0005-0000-0000-000037130000}"/>
    <cellStyle name="20% - Accent6 2 8 2 2" xfId="9667" xr:uid="{00000000-0005-0000-0000-000038130000}"/>
    <cellStyle name="20% - Accent6 2 8 3" xfId="9668" xr:uid="{00000000-0005-0000-0000-000039130000}"/>
    <cellStyle name="20% - Accent6 2 8 4" xfId="9669" xr:uid="{00000000-0005-0000-0000-00003A130000}"/>
    <cellStyle name="20% - Accent6 2 8 5" xfId="9670" xr:uid="{00000000-0005-0000-0000-00003B130000}"/>
    <cellStyle name="20% - Accent6 2 9" xfId="932" xr:uid="{00000000-0005-0000-0000-00003C130000}"/>
    <cellStyle name="20% - Accent6 2 9 2" xfId="1489" xr:uid="{00000000-0005-0000-0000-00003D130000}"/>
    <cellStyle name="20% - Accent6 2 9 2 2" xfId="9671" xr:uid="{00000000-0005-0000-0000-00003E130000}"/>
    <cellStyle name="20% - Accent6 2 9 3" xfId="9672" xr:uid="{00000000-0005-0000-0000-00003F130000}"/>
    <cellStyle name="20% - Accent6 2 9 4" xfId="9673" xr:uid="{00000000-0005-0000-0000-000040130000}"/>
    <cellStyle name="20% - Accent6 2 9 5" xfId="9674" xr:uid="{00000000-0005-0000-0000-000041130000}"/>
    <cellStyle name="20% - Accent6 20" xfId="9675" xr:uid="{00000000-0005-0000-0000-000042130000}"/>
    <cellStyle name="20% - Accent6 21" xfId="9676" xr:uid="{00000000-0005-0000-0000-000043130000}"/>
    <cellStyle name="20% - Accent6 21 2" xfId="9677" xr:uid="{00000000-0005-0000-0000-000044130000}"/>
    <cellStyle name="20% - Accent6 21 2 2" xfId="9678" xr:uid="{00000000-0005-0000-0000-000045130000}"/>
    <cellStyle name="20% - Accent6 21 2 2 2" xfId="25939" xr:uid="{00000000-0005-0000-0000-000046130000}"/>
    <cellStyle name="20% - Accent6 21 2 2 3" xfId="28530" xr:uid="{00000000-0005-0000-0000-000047130000}"/>
    <cellStyle name="20% - Accent6 21 2 3" xfId="9679" xr:uid="{00000000-0005-0000-0000-000048130000}"/>
    <cellStyle name="20% - Accent6 21 2 3 2" xfId="25940" xr:uid="{00000000-0005-0000-0000-000049130000}"/>
    <cellStyle name="20% - Accent6 21 2 3 3" xfId="28531" xr:uid="{00000000-0005-0000-0000-00004A130000}"/>
    <cellStyle name="20% - Accent6 21 2 4" xfId="25938" xr:uid="{00000000-0005-0000-0000-00004B130000}"/>
    <cellStyle name="20% - Accent6 21 2 5" xfId="28529" xr:uid="{00000000-0005-0000-0000-00004C130000}"/>
    <cellStyle name="20% - Accent6 21 3" xfId="9680" xr:uid="{00000000-0005-0000-0000-00004D130000}"/>
    <cellStyle name="20% - Accent6 21 3 2" xfId="25941" xr:uid="{00000000-0005-0000-0000-00004E130000}"/>
    <cellStyle name="20% - Accent6 21 3 3" xfId="28532" xr:uid="{00000000-0005-0000-0000-00004F130000}"/>
    <cellStyle name="20% - Accent6 21 4" xfId="9681" xr:uid="{00000000-0005-0000-0000-000050130000}"/>
    <cellStyle name="20% - Accent6 21 4 2" xfId="25942" xr:uid="{00000000-0005-0000-0000-000051130000}"/>
    <cellStyle name="20% - Accent6 21 4 3" xfId="28533" xr:uid="{00000000-0005-0000-0000-000052130000}"/>
    <cellStyle name="20% - Accent6 21 5" xfId="25937" xr:uid="{00000000-0005-0000-0000-000053130000}"/>
    <cellStyle name="20% - Accent6 21 6" xfId="28528" xr:uid="{00000000-0005-0000-0000-000054130000}"/>
    <cellStyle name="20% - Accent6 22" xfId="9682" xr:uid="{00000000-0005-0000-0000-000055130000}"/>
    <cellStyle name="20% - Accent6 22 2" xfId="9683" xr:uid="{00000000-0005-0000-0000-000056130000}"/>
    <cellStyle name="20% - Accent6 22 2 2" xfId="9684" xr:uid="{00000000-0005-0000-0000-000057130000}"/>
    <cellStyle name="20% - Accent6 22 2 2 2" xfId="25945" xr:uid="{00000000-0005-0000-0000-000058130000}"/>
    <cellStyle name="20% - Accent6 22 2 2 3" xfId="28536" xr:uid="{00000000-0005-0000-0000-000059130000}"/>
    <cellStyle name="20% - Accent6 22 2 3" xfId="9685" xr:uid="{00000000-0005-0000-0000-00005A130000}"/>
    <cellStyle name="20% - Accent6 22 2 3 2" xfId="25946" xr:uid="{00000000-0005-0000-0000-00005B130000}"/>
    <cellStyle name="20% - Accent6 22 2 3 3" xfId="28537" xr:uid="{00000000-0005-0000-0000-00005C130000}"/>
    <cellStyle name="20% - Accent6 22 2 4" xfId="25944" xr:uid="{00000000-0005-0000-0000-00005D130000}"/>
    <cellStyle name="20% - Accent6 22 2 5" xfId="28535" xr:uid="{00000000-0005-0000-0000-00005E130000}"/>
    <cellStyle name="20% - Accent6 22 3" xfId="9686" xr:uid="{00000000-0005-0000-0000-00005F130000}"/>
    <cellStyle name="20% - Accent6 22 3 2" xfId="25947" xr:uid="{00000000-0005-0000-0000-000060130000}"/>
    <cellStyle name="20% - Accent6 22 3 3" xfId="28538" xr:uid="{00000000-0005-0000-0000-000061130000}"/>
    <cellStyle name="20% - Accent6 22 4" xfId="9687" xr:uid="{00000000-0005-0000-0000-000062130000}"/>
    <cellStyle name="20% - Accent6 22 4 2" xfId="25948" xr:uid="{00000000-0005-0000-0000-000063130000}"/>
    <cellStyle name="20% - Accent6 22 4 3" xfId="28539" xr:uid="{00000000-0005-0000-0000-000064130000}"/>
    <cellStyle name="20% - Accent6 22 5" xfId="25943" xr:uid="{00000000-0005-0000-0000-000065130000}"/>
    <cellStyle name="20% - Accent6 22 6" xfId="28534" xr:uid="{00000000-0005-0000-0000-000066130000}"/>
    <cellStyle name="20% - Accent6 23" xfId="9688" xr:uid="{00000000-0005-0000-0000-000067130000}"/>
    <cellStyle name="20% - Accent6 24" xfId="9689" xr:uid="{00000000-0005-0000-0000-000068130000}"/>
    <cellStyle name="20% - Accent6 24 2" xfId="9690" xr:uid="{00000000-0005-0000-0000-000069130000}"/>
    <cellStyle name="20% - Accent6 24 2 2" xfId="9691" xr:uid="{00000000-0005-0000-0000-00006A130000}"/>
    <cellStyle name="20% - Accent6 24 2 2 2" xfId="25951" xr:uid="{00000000-0005-0000-0000-00006B130000}"/>
    <cellStyle name="20% - Accent6 24 2 2 3" xfId="28542" xr:uid="{00000000-0005-0000-0000-00006C130000}"/>
    <cellStyle name="20% - Accent6 24 2 3" xfId="9692" xr:uid="{00000000-0005-0000-0000-00006D130000}"/>
    <cellStyle name="20% - Accent6 24 2 3 2" xfId="25952" xr:uid="{00000000-0005-0000-0000-00006E130000}"/>
    <cellStyle name="20% - Accent6 24 2 3 3" xfId="28543" xr:uid="{00000000-0005-0000-0000-00006F130000}"/>
    <cellStyle name="20% - Accent6 24 2 4" xfId="25950" xr:uid="{00000000-0005-0000-0000-000070130000}"/>
    <cellStyle name="20% - Accent6 24 2 5" xfId="28541" xr:uid="{00000000-0005-0000-0000-000071130000}"/>
    <cellStyle name="20% - Accent6 24 3" xfId="9693" xr:uid="{00000000-0005-0000-0000-000072130000}"/>
    <cellStyle name="20% - Accent6 24 3 2" xfId="25953" xr:uid="{00000000-0005-0000-0000-000073130000}"/>
    <cellStyle name="20% - Accent6 24 3 3" xfId="28544" xr:uid="{00000000-0005-0000-0000-000074130000}"/>
    <cellStyle name="20% - Accent6 24 4" xfId="9694" xr:uid="{00000000-0005-0000-0000-000075130000}"/>
    <cellStyle name="20% - Accent6 24 4 2" xfId="25954" xr:uid="{00000000-0005-0000-0000-000076130000}"/>
    <cellStyle name="20% - Accent6 24 4 3" xfId="28545" xr:uid="{00000000-0005-0000-0000-000077130000}"/>
    <cellStyle name="20% - Accent6 24 5" xfId="25949" xr:uid="{00000000-0005-0000-0000-000078130000}"/>
    <cellStyle name="20% - Accent6 24 6" xfId="28540" xr:uid="{00000000-0005-0000-0000-000079130000}"/>
    <cellStyle name="20% - Accent6 25" xfId="9695" xr:uid="{00000000-0005-0000-0000-00007A130000}"/>
    <cellStyle name="20% - Accent6 25 2" xfId="9696" xr:uid="{00000000-0005-0000-0000-00007B130000}"/>
    <cellStyle name="20% - Accent6 25 2 2" xfId="9697" xr:uid="{00000000-0005-0000-0000-00007C130000}"/>
    <cellStyle name="20% - Accent6 25 2 2 2" xfId="25957" xr:uid="{00000000-0005-0000-0000-00007D130000}"/>
    <cellStyle name="20% - Accent6 25 2 2 3" xfId="28548" xr:uid="{00000000-0005-0000-0000-00007E130000}"/>
    <cellStyle name="20% - Accent6 25 2 3" xfId="9698" xr:uid="{00000000-0005-0000-0000-00007F130000}"/>
    <cellStyle name="20% - Accent6 25 2 3 2" xfId="25958" xr:uid="{00000000-0005-0000-0000-000080130000}"/>
    <cellStyle name="20% - Accent6 25 2 3 3" xfId="28549" xr:uid="{00000000-0005-0000-0000-000081130000}"/>
    <cellStyle name="20% - Accent6 25 2 4" xfId="25956" xr:uid="{00000000-0005-0000-0000-000082130000}"/>
    <cellStyle name="20% - Accent6 25 2 5" xfId="28547" xr:uid="{00000000-0005-0000-0000-000083130000}"/>
    <cellStyle name="20% - Accent6 25 3" xfId="9699" xr:uid="{00000000-0005-0000-0000-000084130000}"/>
    <cellStyle name="20% - Accent6 25 3 2" xfId="25959" xr:uid="{00000000-0005-0000-0000-000085130000}"/>
    <cellStyle name="20% - Accent6 25 3 3" xfId="28550" xr:uid="{00000000-0005-0000-0000-000086130000}"/>
    <cellStyle name="20% - Accent6 25 4" xfId="9700" xr:uid="{00000000-0005-0000-0000-000087130000}"/>
    <cellStyle name="20% - Accent6 25 4 2" xfId="25960" xr:uid="{00000000-0005-0000-0000-000088130000}"/>
    <cellStyle name="20% - Accent6 25 4 3" xfId="28551" xr:uid="{00000000-0005-0000-0000-000089130000}"/>
    <cellStyle name="20% - Accent6 25 5" xfId="25955" xr:uid="{00000000-0005-0000-0000-00008A130000}"/>
    <cellStyle name="20% - Accent6 25 6" xfId="28546" xr:uid="{00000000-0005-0000-0000-00008B130000}"/>
    <cellStyle name="20% - Accent6 26" xfId="9701" xr:uid="{00000000-0005-0000-0000-00008C130000}"/>
    <cellStyle name="20% - Accent6 27" xfId="9702" xr:uid="{00000000-0005-0000-0000-00008D130000}"/>
    <cellStyle name="20% - Accent6 27 2" xfId="9703" xr:uid="{00000000-0005-0000-0000-00008E130000}"/>
    <cellStyle name="20% - Accent6 27 2 2" xfId="9704" xr:uid="{00000000-0005-0000-0000-00008F130000}"/>
    <cellStyle name="20% - Accent6 27 2 2 2" xfId="25963" xr:uid="{00000000-0005-0000-0000-000090130000}"/>
    <cellStyle name="20% - Accent6 27 2 2 3" xfId="28554" xr:uid="{00000000-0005-0000-0000-000091130000}"/>
    <cellStyle name="20% - Accent6 27 2 3" xfId="9705" xr:uid="{00000000-0005-0000-0000-000092130000}"/>
    <cellStyle name="20% - Accent6 27 2 3 2" xfId="25964" xr:uid="{00000000-0005-0000-0000-000093130000}"/>
    <cellStyle name="20% - Accent6 27 2 3 3" xfId="28555" xr:uid="{00000000-0005-0000-0000-000094130000}"/>
    <cellStyle name="20% - Accent6 27 2 4" xfId="25962" xr:uid="{00000000-0005-0000-0000-000095130000}"/>
    <cellStyle name="20% - Accent6 27 2 5" xfId="28553" xr:uid="{00000000-0005-0000-0000-000096130000}"/>
    <cellStyle name="20% - Accent6 27 3" xfId="9706" xr:uid="{00000000-0005-0000-0000-000097130000}"/>
    <cellStyle name="20% - Accent6 27 3 2" xfId="25965" xr:uid="{00000000-0005-0000-0000-000098130000}"/>
    <cellStyle name="20% - Accent6 27 3 3" xfId="28556" xr:uid="{00000000-0005-0000-0000-000099130000}"/>
    <cellStyle name="20% - Accent6 27 4" xfId="9707" xr:uid="{00000000-0005-0000-0000-00009A130000}"/>
    <cellStyle name="20% - Accent6 27 4 2" xfId="25966" xr:uid="{00000000-0005-0000-0000-00009B130000}"/>
    <cellStyle name="20% - Accent6 27 4 3" xfId="28557" xr:uid="{00000000-0005-0000-0000-00009C130000}"/>
    <cellStyle name="20% - Accent6 27 5" xfId="25961" xr:uid="{00000000-0005-0000-0000-00009D130000}"/>
    <cellStyle name="20% - Accent6 27 6" xfId="28552" xr:uid="{00000000-0005-0000-0000-00009E130000}"/>
    <cellStyle name="20% - Accent6 28" xfId="9708" xr:uid="{00000000-0005-0000-0000-00009F130000}"/>
    <cellStyle name="20% - Accent6 28 2" xfId="9709" xr:uid="{00000000-0005-0000-0000-0000A0130000}"/>
    <cellStyle name="20% - Accent6 28 2 2" xfId="25968" xr:uid="{00000000-0005-0000-0000-0000A1130000}"/>
    <cellStyle name="20% - Accent6 28 2 3" xfId="28559" xr:uid="{00000000-0005-0000-0000-0000A2130000}"/>
    <cellStyle name="20% - Accent6 28 3" xfId="9710" xr:uid="{00000000-0005-0000-0000-0000A3130000}"/>
    <cellStyle name="20% - Accent6 28 3 2" xfId="25969" xr:uid="{00000000-0005-0000-0000-0000A4130000}"/>
    <cellStyle name="20% - Accent6 28 3 3" xfId="28560" xr:uid="{00000000-0005-0000-0000-0000A5130000}"/>
    <cellStyle name="20% - Accent6 28 4" xfId="25967" xr:uid="{00000000-0005-0000-0000-0000A6130000}"/>
    <cellStyle name="20% - Accent6 28 5" xfId="28558" xr:uid="{00000000-0005-0000-0000-0000A7130000}"/>
    <cellStyle name="20% - Accent6 29" xfId="9711" xr:uid="{00000000-0005-0000-0000-0000A8130000}"/>
    <cellStyle name="20% - Accent6 29 2" xfId="25970" xr:uid="{00000000-0005-0000-0000-0000A9130000}"/>
    <cellStyle name="20% - Accent6 29 3" xfId="28561" xr:uid="{00000000-0005-0000-0000-0000AA130000}"/>
    <cellStyle name="20% - Accent6 3" xfId="232" xr:uid="{00000000-0005-0000-0000-0000AB130000}"/>
    <cellStyle name="20% - Accent6 3 10" xfId="3680" xr:uid="{00000000-0005-0000-0000-0000AC130000}"/>
    <cellStyle name="20% - Accent6 3 10 2" xfId="4426" xr:uid="{00000000-0005-0000-0000-0000AD130000}"/>
    <cellStyle name="20% - Accent6 3 10 2 2" xfId="9712" xr:uid="{00000000-0005-0000-0000-0000AE130000}"/>
    <cellStyle name="20% - Accent6 3 10 3" xfId="9713" xr:uid="{00000000-0005-0000-0000-0000AF130000}"/>
    <cellStyle name="20% - Accent6 3 10 4" xfId="9714" xr:uid="{00000000-0005-0000-0000-0000B0130000}"/>
    <cellStyle name="20% - Accent6 3 10 5" xfId="9715" xr:uid="{00000000-0005-0000-0000-0000B1130000}"/>
    <cellStyle name="20% - Accent6 3 11" xfId="9716" xr:uid="{00000000-0005-0000-0000-0000B2130000}"/>
    <cellStyle name="20% - Accent6 3 11 2" xfId="9717" xr:uid="{00000000-0005-0000-0000-0000B3130000}"/>
    <cellStyle name="20% - Accent6 3 11 3" xfId="9718" xr:uid="{00000000-0005-0000-0000-0000B4130000}"/>
    <cellStyle name="20% - Accent6 3 12" xfId="9719" xr:uid="{00000000-0005-0000-0000-0000B5130000}"/>
    <cellStyle name="20% - Accent6 3 12 2" xfId="9720" xr:uid="{00000000-0005-0000-0000-0000B6130000}"/>
    <cellStyle name="20% - Accent6 3 12 3" xfId="9721" xr:uid="{00000000-0005-0000-0000-0000B7130000}"/>
    <cellStyle name="20% - Accent6 3 13" xfId="9722" xr:uid="{00000000-0005-0000-0000-0000B8130000}"/>
    <cellStyle name="20% - Accent6 3 13 2" xfId="9723" xr:uid="{00000000-0005-0000-0000-0000B9130000}"/>
    <cellStyle name="20% - Accent6 3 13 3" xfId="9724" xr:uid="{00000000-0005-0000-0000-0000BA130000}"/>
    <cellStyle name="20% - Accent6 3 14" xfId="9725" xr:uid="{00000000-0005-0000-0000-0000BB130000}"/>
    <cellStyle name="20% - Accent6 3 15" xfId="9726" xr:uid="{00000000-0005-0000-0000-0000BC130000}"/>
    <cellStyle name="20% - Accent6 3 16" xfId="24507" xr:uid="{00000000-0005-0000-0000-0000BD130000}"/>
    <cellStyle name="20% - Accent6 3 2" xfId="1453" xr:uid="{00000000-0005-0000-0000-0000BE130000}"/>
    <cellStyle name="20% - Accent6 3 2 10" xfId="9727" xr:uid="{00000000-0005-0000-0000-0000BF130000}"/>
    <cellStyle name="20% - Accent6 3 2 10 2" xfId="9728" xr:uid="{00000000-0005-0000-0000-0000C0130000}"/>
    <cellStyle name="20% - Accent6 3 2 10 3" xfId="9729" xr:uid="{00000000-0005-0000-0000-0000C1130000}"/>
    <cellStyle name="20% - Accent6 3 2 11" xfId="9730" xr:uid="{00000000-0005-0000-0000-0000C2130000}"/>
    <cellStyle name="20% - Accent6 3 2 11 2" xfId="9731" xr:uid="{00000000-0005-0000-0000-0000C3130000}"/>
    <cellStyle name="20% - Accent6 3 2 11 3" xfId="9732" xr:uid="{00000000-0005-0000-0000-0000C4130000}"/>
    <cellStyle name="20% - Accent6 3 2 12" xfId="9733" xr:uid="{00000000-0005-0000-0000-0000C5130000}"/>
    <cellStyle name="20% - Accent6 3 2 12 2" xfId="9734" xr:uid="{00000000-0005-0000-0000-0000C6130000}"/>
    <cellStyle name="20% - Accent6 3 2 12 3" xfId="9735" xr:uid="{00000000-0005-0000-0000-0000C7130000}"/>
    <cellStyle name="20% - Accent6 3 2 13" xfId="9736" xr:uid="{00000000-0005-0000-0000-0000C8130000}"/>
    <cellStyle name="20% - Accent6 3 2 14" xfId="9737" xr:uid="{00000000-0005-0000-0000-0000C9130000}"/>
    <cellStyle name="20% - Accent6 3 2 15" xfId="9738" xr:uid="{00000000-0005-0000-0000-0000CA130000}"/>
    <cellStyle name="20% - Accent6 3 2 2" xfId="1843" xr:uid="{00000000-0005-0000-0000-0000CB130000}"/>
    <cellStyle name="20% - Accent6 3 2 2 2" xfId="9739" xr:uid="{00000000-0005-0000-0000-0000CC130000}"/>
    <cellStyle name="20% - Accent6 3 2 2 3" xfId="9740" xr:uid="{00000000-0005-0000-0000-0000CD130000}"/>
    <cellStyle name="20% - Accent6 3 2 3" xfId="2218" xr:uid="{00000000-0005-0000-0000-0000CE130000}"/>
    <cellStyle name="20% - Accent6 3 2 3 2" xfId="9741" xr:uid="{00000000-0005-0000-0000-0000CF130000}"/>
    <cellStyle name="20% - Accent6 3 2 3 3" xfId="9742" xr:uid="{00000000-0005-0000-0000-0000D0130000}"/>
    <cellStyle name="20% - Accent6 3 2 4" xfId="2592" xr:uid="{00000000-0005-0000-0000-0000D1130000}"/>
    <cellStyle name="20% - Accent6 3 2 4 2" xfId="9743" xr:uid="{00000000-0005-0000-0000-0000D2130000}"/>
    <cellStyle name="20% - Accent6 3 2 4 3" xfId="9744" xr:uid="{00000000-0005-0000-0000-0000D3130000}"/>
    <cellStyle name="20% - Accent6 3 2 5" xfId="2964" xr:uid="{00000000-0005-0000-0000-0000D4130000}"/>
    <cellStyle name="20% - Accent6 3 2 5 2" xfId="9745" xr:uid="{00000000-0005-0000-0000-0000D5130000}"/>
    <cellStyle name="20% - Accent6 3 2 5 3" xfId="9746" xr:uid="{00000000-0005-0000-0000-0000D6130000}"/>
    <cellStyle name="20% - Accent6 3 2 6" xfId="3336" xr:uid="{00000000-0005-0000-0000-0000D7130000}"/>
    <cellStyle name="20% - Accent6 3 2 6 2" xfId="9747" xr:uid="{00000000-0005-0000-0000-0000D8130000}"/>
    <cellStyle name="20% - Accent6 3 2 6 3" xfId="9748" xr:uid="{00000000-0005-0000-0000-0000D9130000}"/>
    <cellStyle name="20% - Accent6 3 2 7" xfId="4427" xr:uid="{00000000-0005-0000-0000-0000DA130000}"/>
    <cellStyle name="20% - Accent6 3 2 7 2" xfId="9750" xr:uid="{00000000-0005-0000-0000-0000DB130000}"/>
    <cellStyle name="20% - Accent6 3 2 7 3" xfId="9751" xr:uid="{00000000-0005-0000-0000-0000DC130000}"/>
    <cellStyle name="20% - Accent6 3 2 7 4" xfId="9749" xr:uid="{00000000-0005-0000-0000-0000DD130000}"/>
    <cellStyle name="20% - Accent6 3 2 8" xfId="9752" xr:uid="{00000000-0005-0000-0000-0000DE130000}"/>
    <cellStyle name="20% - Accent6 3 2 8 2" xfId="9753" xr:uid="{00000000-0005-0000-0000-0000DF130000}"/>
    <cellStyle name="20% - Accent6 3 2 8 3" xfId="9754" xr:uid="{00000000-0005-0000-0000-0000E0130000}"/>
    <cellStyle name="20% - Accent6 3 2 9" xfId="9755" xr:uid="{00000000-0005-0000-0000-0000E1130000}"/>
    <cellStyle name="20% - Accent6 3 2 9 2" xfId="9756" xr:uid="{00000000-0005-0000-0000-0000E2130000}"/>
    <cellStyle name="20% - Accent6 3 2 9 3" xfId="9757" xr:uid="{00000000-0005-0000-0000-0000E3130000}"/>
    <cellStyle name="20% - Accent6 3 3" xfId="1580" xr:uid="{00000000-0005-0000-0000-0000E4130000}"/>
    <cellStyle name="20% - Accent6 3 3 2" xfId="1920" xr:uid="{00000000-0005-0000-0000-0000E5130000}"/>
    <cellStyle name="20% - Accent6 3 3 3" xfId="2295" xr:uid="{00000000-0005-0000-0000-0000E6130000}"/>
    <cellStyle name="20% - Accent6 3 3 4" xfId="2668" xr:uid="{00000000-0005-0000-0000-0000E7130000}"/>
    <cellStyle name="20% - Accent6 3 3 5" xfId="3041" xr:uid="{00000000-0005-0000-0000-0000E8130000}"/>
    <cellStyle name="20% - Accent6 3 3 6" xfId="3412" xr:uid="{00000000-0005-0000-0000-0000E9130000}"/>
    <cellStyle name="20% - Accent6 3 3 7" xfId="4428" xr:uid="{00000000-0005-0000-0000-0000EA130000}"/>
    <cellStyle name="20% - Accent6 3 4" xfId="1717" xr:uid="{00000000-0005-0000-0000-0000EB130000}"/>
    <cellStyle name="20% - Accent6 3 4 2" xfId="1964" xr:uid="{00000000-0005-0000-0000-0000EC130000}"/>
    <cellStyle name="20% - Accent6 3 4 3" xfId="2339" xr:uid="{00000000-0005-0000-0000-0000ED130000}"/>
    <cellStyle name="20% - Accent6 3 4 4" xfId="2712" xr:uid="{00000000-0005-0000-0000-0000EE130000}"/>
    <cellStyle name="20% - Accent6 3 4 5" xfId="3085" xr:uid="{00000000-0005-0000-0000-0000EF130000}"/>
    <cellStyle name="20% - Accent6 3 4 6" xfId="3456" xr:uid="{00000000-0005-0000-0000-0000F0130000}"/>
    <cellStyle name="20% - Accent6 3 5" xfId="2052" xr:uid="{00000000-0005-0000-0000-0000F1130000}"/>
    <cellStyle name="20% - Accent6 3 5 2" xfId="9758" xr:uid="{00000000-0005-0000-0000-0000F2130000}"/>
    <cellStyle name="20% - Accent6 3 5 3" xfId="9759" xr:uid="{00000000-0005-0000-0000-0000F3130000}"/>
    <cellStyle name="20% - Accent6 3 5 4" xfId="9760" xr:uid="{00000000-0005-0000-0000-0000F4130000}"/>
    <cellStyle name="20% - Accent6 3 6" xfId="2426" xr:uid="{00000000-0005-0000-0000-0000F5130000}"/>
    <cellStyle name="20% - Accent6 3 6 2" xfId="9761" xr:uid="{00000000-0005-0000-0000-0000F6130000}"/>
    <cellStyle name="20% - Accent6 3 6 3" xfId="9762" xr:uid="{00000000-0005-0000-0000-0000F7130000}"/>
    <cellStyle name="20% - Accent6 3 6 4" xfId="9763" xr:uid="{00000000-0005-0000-0000-0000F8130000}"/>
    <cellStyle name="20% - Accent6 3 7" xfId="2798" xr:uid="{00000000-0005-0000-0000-0000F9130000}"/>
    <cellStyle name="20% - Accent6 3 7 2" xfId="9764" xr:uid="{00000000-0005-0000-0000-0000FA130000}"/>
    <cellStyle name="20% - Accent6 3 7 3" xfId="9765" xr:uid="{00000000-0005-0000-0000-0000FB130000}"/>
    <cellStyle name="20% - Accent6 3 7 4" xfId="9766" xr:uid="{00000000-0005-0000-0000-0000FC130000}"/>
    <cellStyle name="20% - Accent6 3 8" xfId="3169" xr:uid="{00000000-0005-0000-0000-0000FD130000}"/>
    <cellStyle name="20% - Accent6 3 8 2" xfId="9767" xr:uid="{00000000-0005-0000-0000-0000FE130000}"/>
    <cellStyle name="20% - Accent6 3 8 3" xfId="9768" xr:uid="{00000000-0005-0000-0000-0000FF130000}"/>
    <cellStyle name="20% - Accent6 3 8 4" xfId="9769" xr:uid="{00000000-0005-0000-0000-000000140000}"/>
    <cellStyle name="20% - Accent6 3 9" xfId="3544" xr:uid="{00000000-0005-0000-0000-000001140000}"/>
    <cellStyle name="20% - Accent6 3 9 2" xfId="4429" xr:uid="{00000000-0005-0000-0000-000002140000}"/>
    <cellStyle name="20% - Accent6 3 9 2 2" xfId="9770" xr:uid="{00000000-0005-0000-0000-000003140000}"/>
    <cellStyle name="20% - Accent6 3 9 3" xfId="9771" xr:uid="{00000000-0005-0000-0000-000004140000}"/>
    <cellStyle name="20% - Accent6 3 9 4" xfId="9772" xr:uid="{00000000-0005-0000-0000-000005140000}"/>
    <cellStyle name="20% - Accent6 3 9 5" xfId="9773" xr:uid="{00000000-0005-0000-0000-000006140000}"/>
    <cellStyle name="20% - Accent6 30" xfId="28147" xr:uid="{00000000-0005-0000-0000-000007140000}"/>
    <cellStyle name="20% - Accent6 4" xfId="240" xr:uid="{00000000-0005-0000-0000-000008140000}"/>
    <cellStyle name="20% - Accent6 4 10" xfId="3724" xr:uid="{00000000-0005-0000-0000-000009140000}"/>
    <cellStyle name="20% - Accent6 4 10 2" xfId="4431" xr:uid="{00000000-0005-0000-0000-00000A140000}"/>
    <cellStyle name="20% - Accent6 4 10 2 2" xfId="9775" xr:uid="{00000000-0005-0000-0000-00000B140000}"/>
    <cellStyle name="20% - Accent6 4 10 3" xfId="9776" xr:uid="{00000000-0005-0000-0000-00000C140000}"/>
    <cellStyle name="20% - Accent6 4 10 4" xfId="9777" xr:uid="{00000000-0005-0000-0000-00000D140000}"/>
    <cellStyle name="20% - Accent6 4 10 5" xfId="9778" xr:uid="{00000000-0005-0000-0000-00000E140000}"/>
    <cellStyle name="20% - Accent6 4 11" xfId="1314" xr:uid="{00000000-0005-0000-0000-00000F140000}"/>
    <cellStyle name="20% - Accent6 4 11 10" xfId="25971" xr:uid="{00000000-0005-0000-0000-000010140000}"/>
    <cellStyle name="20% - Accent6 4 11 11" xfId="28563" xr:uid="{00000000-0005-0000-0000-000011140000}"/>
    <cellStyle name="20% - Accent6 4 11 2" xfId="4154" xr:uid="{00000000-0005-0000-0000-000012140000}"/>
    <cellStyle name="20% - Accent6 4 11 2 2" xfId="5366" xr:uid="{00000000-0005-0000-0000-000013140000}"/>
    <cellStyle name="20% - Accent6 4 11 2 2 2" xfId="6168" xr:uid="{00000000-0005-0000-0000-000014140000}"/>
    <cellStyle name="20% - Accent6 4 11 2 2 2 2" xfId="25974" xr:uid="{00000000-0005-0000-0000-000015140000}"/>
    <cellStyle name="20% - Accent6 4 11 2 2 3" xfId="9781" xr:uid="{00000000-0005-0000-0000-000016140000}"/>
    <cellStyle name="20% - Accent6 4 11 2 2 4" xfId="25973" xr:uid="{00000000-0005-0000-0000-000017140000}"/>
    <cellStyle name="20% - Accent6 4 11 2 3" xfId="5676" xr:uid="{00000000-0005-0000-0000-000018140000}"/>
    <cellStyle name="20% - Accent6 4 11 2 3 2" xfId="6169" xr:uid="{00000000-0005-0000-0000-000019140000}"/>
    <cellStyle name="20% - Accent6 4 11 2 3 2 2" xfId="25976" xr:uid="{00000000-0005-0000-0000-00001A140000}"/>
    <cellStyle name="20% - Accent6 4 11 2 3 3" xfId="25975" xr:uid="{00000000-0005-0000-0000-00001B140000}"/>
    <cellStyle name="20% - Accent6 4 11 2 4" xfId="4433" xr:uid="{00000000-0005-0000-0000-00001C140000}"/>
    <cellStyle name="20% - Accent6 4 11 2 4 2" xfId="6170" xr:uid="{00000000-0005-0000-0000-00001D140000}"/>
    <cellStyle name="20% - Accent6 4 11 2 4 2 2" xfId="25978" xr:uid="{00000000-0005-0000-0000-00001E140000}"/>
    <cellStyle name="20% - Accent6 4 11 2 4 3" xfId="25977" xr:uid="{00000000-0005-0000-0000-00001F140000}"/>
    <cellStyle name="20% - Accent6 4 11 2 5" xfId="6167" xr:uid="{00000000-0005-0000-0000-000020140000}"/>
    <cellStyle name="20% - Accent6 4 11 2 5 2" xfId="25979" xr:uid="{00000000-0005-0000-0000-000021140000}"/>
    <cellStyle name="20% - Accent6 4 11 2 6" xfId="9780" xr:uid="{00000000-0005-0000-0000-000022140000}"/>
    <cellStyle name="20% - Accent6 4 11 2 6 2" xfId="25980" xr:uid="{00000000-0005-0000-0000-000023140000}"/>
    <cellStyle name="20% - Accent6 4 11 2 7" xfId="25006" xr:uid="{00000000-0005-0000-0000-000024140000}"/>
    <cellStyle name="20% - Accent6 4 11 2 8" xfId="25972" xr:uid="{00000000-0005-0000-0000-000025140000}"/>
    <cellStyle name="20% - Accent6 4 11 2 9" xfId="28564" xr:uid="{00000000-0005-0000-0000-000026140000}"/>
    <cellStyle name="20% - Accent6 4 11 3" xfId="5365" xr:uid="{00000000-0005-0000-0000-000027140000}"/>
    <cellStyle name="20% - Accent6 4 11 3 2" xfId="6171" xr:uid="{00000000-0005-0000-0000-000028140000}"/>
    <cellStyle name="20% - Accent6 4 11 3 2 2" xfId="25982" xr:uid="{00000000-0005-0000-0000-000029140000}"/>
    <cellStyle name="20% - Accent6 4 11 3 3" xfId="9782" xr:uid="{00000000-0005-0000-0000-00002A140000}"/>
    <cellStyle name="20% - Accent6 4 11 3 4" xfId="25981" xr:uid="{00000000-0005-0000-0000-00002B140000}"/>
    <cellStyle name="20% - Accent6 4 11 4" xfId="5675" xr:uid="{00000000-0005-0000-0000-00002C140000}"/>
    <cellStyle name="20% - Accent6 4 11 4 2" xfId="6172" xr:uid="{00000000-0005-0000-0000-00002D140000}"/>
    <cellStyle name="20% - Accent6 4 11 4 2 2" xfId="25984" xr:uid="{00000000-0005-0000-0000-00002E140000}"/>
    <cellStyle name="20% - Accent6 4 11 4 3" xfId="9783" xr:uid="{00000000-0005-0000-0000-00002F140000}"/>
    <cellStyle name="20% - Accent6 4 11 4 4" xfId="25983" xr:uid="{00000000-0005-0000-0000-000030140000}"/>
    <cellStyle name="20% - Accent6 4 11 5" xfId="4432" xr:uid="{00000000-0005-0000-0000-000031140000}"/>
    <cellStyle name="20% - Accent6 4 11 5 2" xfId="6173" xr:uid="{00000000-0005-0000-0000-000032140000}"/>
    <cellStyle name="20% - Accent6 4 11 5 2 2" xfId="9785" xr:uid="{00000000-0005-0000-0000-000033140000}"/>
    <cellStyle name="20% - Accent6 4 11 5 2 2 2" xfId="25987" xr:uid="{00000000-0005-0000-0000-000034140000}"/>
    <cellStyle name="20% - Accent6 4 11 5 2 3" xfId="25986" xr:uid="{00000000-0005-0000-0000-000035140000}"/>
    <cellStyle name="20% - Accent6 4 11 5 2 4" xfId="28566" xr:uid="{00000000-0005-0000-0000-000036140000}"/>
    <cellStyle name="20% - Accent6 4 11 5 3" xfId="9786" xr:uid="{00000000-0005-0000-0000-000037140000}"/>
    <cellStyle name="20% - Accent6 4 11 5 3 2" xfId="25988" xr:uid="{00000000-0005-0000-0000-000038140000}"/>
    <cellStyle name="20% - Accent6 4 11 5 3 3" xfId="28567" xr:uid="{00000000-0005-0000-0000-000039140000}"/>
    <cellStyle name="20% - Accent6 4 11 5 4" xfId="9784" xr:uid="{00000000-0005-0000-0000-00003A140000}"/>
    <cellStyle name="20% - Accent6 4 11 5 4 2" xfId="25989" xr:uid="{00000000-0005-0000-0000-00003B140000}"/>
    <cellStyle name="20% - Accent6 4 11 5 5" xfId="25985" xr:uid="{00000000-0005-0000-0000-00003C140000}"/>
    <cellStyle name="20% - Accent6 4 11 5 6" xfId="28565" xr:uid="{00000000-0005-0000-0000-00003D140000}"/>
    <cellStyle name="20% - Accent6 4 11 6" xfId="6166" xr:uid="{00000000-0005-0000-0000-00003E140000}"/>
    <cellStyle name="20% - Accent6 4 11 6 2" xfId="9787" xr:uid="{00000000-0005-0000-0000-00003F140000}"/>
    <cellStyle name="20% - Accent6 4 11 6 2 2" xfId="25991" xr:uid="{00000000-0005-0000-0000-000040140000}"/>
    <cellStyle name="20% - Accent6 4 11 6 3" xfId="25990" xr:uid="{00000000-0005-0000-0000-000041140000}"/>
    <cellStyle name="20% - Accent6 4 11 6 4" xfId="28568" xr:uid="{00000000-0005-0000-0000-000042140000}"/>
    <cellStyle name="20% - Accent6 4 11 7" xfId="9788" xr:uid="{00000000-0005-0000-0000-000043140000}"/>
    <cellStyle name="20% - Accent6 4 11 7 2" xfId="25992" xr:uid="{00000000-0005-0000-0000-000044140000}"/>
    <cellStyle name="20% - Accent6 4 11 7 3" xfId="28569" xr:uid="{00000000-0005-0000-0000-000045140000}"/>
    <cellStyle name="20% - Accent6 4 11 8" xfId="9779" xr:uid="{00000000-0005-0000-0000-000046140000}"/>
    <cellStyle name="20% - Accent6 4 11 8 2" xfId="25993" xr:uid="{00000000-0005-0000-0000-000047140000}"/>
    <cellStyle name="20% - Accent6 4 11 9" xfId="24886" xr:uid="{00000000-0005-0000-0000-000048140000}"/>
    <cellStyle name="20% - Accent6 4 12" xfId="4434" xr:uid="{00000000-0005-0000-0000-000049140000}"/>
    <cellStyle name="20% - Accent6 4 12 2" xfId="5367" xr:uid="{00000000-0005-0000-0000-00004A140000}"/>
    <cellStyle name="20% - Accent6 4 12 2 2" xfId="6175" xr:uid="{00000000-0005-0000-0000-00004B140000}"/>
    <cellStyle name="20% - Accent6 4 12 2 2 2" xfId="25996" xr:uid="{00000000-0005-0000-0000-00004C140000}"/>
    <cellStyle name="20% - Accent6 4 12 2 3" xfId="9790" xr:uid="{00000000-0005-0000-0000-00004D140000}"/>
    <cellStyle name="20% - Accent6 4 12 2 4" xfId="25995" xr:uid="{00000000-0005-0000-0000-00004E140000}"/>
    <cellStyle name="20% - Accent6 4 12 3" xfId="5677" xr:uid="{00000000-0005-0000-0000-00004F140000}"/>
    <cellStyle name="20% - Accent6 4 12 3 2" xfId="6176" xr:uid="{00000000-0005-0000-0000-000050140000}"/>
    <cellStyle name="20% - Accent6 4 12 3 2 2" xfId="25998" xr:uid="{00000000-0005-0000-0000-000051140000}"/>
    <cellStyle name="20% - Accent6 4 12 3 3" xfId="9791" xr:uid="{00000000-0005-0000-0000-000052140000}"/>
    <cellStyle name="20% - Accent6 4 12 3 4" xfId="25997" xr:uid="{00000000-0005-0000-0000-000053140000}"/>
    <cellStyle name="20% - Accent6 4 12 4" xfId="6174" xr:uid="{00000000-0005-0000-0000-000054140000}"/>
    <cellStyle name="20% - Accent6 4 12 4 2" xfId="9792" xr:uid="{00000000-0005-0000-0000-000055140000}"/>
    <cellStyle name="20% - Accent6 4 12 4 3" xfId="25999" xr:uid="{00000000-0005-0000-0000-000056140000}"/>
    <cellStyle name="20% - Accent6 4 12 5" xfId="9789" xr:uid="{00000000-0005-0000-0000-000057140000}"/>
    <cellStyle name="20% - Accent6 4 12 5 2" xfId="26000" xr:uid="{00000000-0005-0000-0000-000058140000}"/>
    <cellStyle name="20% - Accent6 4 12 6" xfId="25994" xr:uid="{00000000-0005-0000-0000-000059140000}"/>
    <cellStyle name="20% - Accent6 4 12 7" xfId="28570" xr:uid="{00000000-0005-0000-0000-00005A140000}"/>
    <cellStyle name="20% - Accent6 4 13" xfId="5364" xr:uid="{00000000-0005-0000-0000-00005B140000}"/>
    <cellStyle name="20% - Accent6 4 13 2" xfId="6177" xr:uid="{00000000-0005-0000-0000-00005C140000}"/>
    <cellStyle name="20% - Accent6 4 13 2 2" xfId="9794" xr:uid="{00000000-0005-0000-0000-00005D140000}"/>
    <cellStyle name="20% - Accent6 4 13 2 3" xfId="26002" xr:uid="{00000000-0005-0000-0000-00005E140000}"/>
    <cellStyle name="20% - Accent6 4 13 3" xfId="9795" xr:uid="{00000000-0005-0000-0000-00005F140000}"/>
    <cellStyle name="20% - Accent6 4 13 4" xfId="9793" xr:uid="{00000000-0005-0000-0000-000060140000}"/>
    <cellStyle name="20% - Accent6 4 13 5" xfId="26001" xr:uid="{00000000-0005-0000-0000-000061140000}"/>
    <cellStyle name="20% - Accent6 4 14" xfId="5674" xr:uid="{00000000-0005-0000-0000-000062140000}"/>
    <cellStyle name="20% - Accent6 4 14 2" xfId="6178" xr:uid="{00000000-0005-0000-0000-000063140000}"/>
    <cellStyle name="20% - Accent6 4 14 2 2" xfId="26004" xr:uid="{00000000-0005-0000-0000-000064140000}"/>
    <cellStyle name="20% - Accent6 4 14 3" xfId="9796" xr:uid="{00000000-0005-0000-0000-000065140000}"/>
    <cellStyle name="20% - Accent6 4 14 4" xfId="26003" xr:uid="{00000000-0005-0000-0000-000066140000}"/>
    <cellStyle name="20% - Accent6 4 15" xfId="4430" xr:uid="{00000000-0005-0000-0000-000067140000}"/>
    <cellStyle name="20% - Accent6 4 15 2" xfId="6179" xr:uid="{00000000-0005-0000-0000-000068140000}"/>
    <cellStyle name="20% - Accent6 4 15 2 2" xfId="26006" xr:uid="{00000000-0005-0000-0000-000069140000}"/>
    <cellStyle name="20% - Accent6 4 15 3" xfId="9797" xr:uid="{00000000-0005-0000-0000-00006A140000}"/>
    <cellStyle name="20% - Accent6 4 15 4" xfId="26005" xr:uid="{00000000-0005-0000-0000-00006B140000}"/>
    <cellStyle name="20% - Accent6 4 16" xfId="9798" xr:uid="{00000000-0005-0000-0000-00006C140000}"/>
    <cellStyle name="20% - Accent6 4 17" xfId="9799" xr:uid="{00000000-0005-0000-0000-00006D140000}"/>
    <cellStyle name="20% - Accent6 4 17 2" xfId="9800" xr:uid="{00000000-0005-0000-0000-00006E140000}"/>
    <cellStyle name="20% - Accent6 4 17 2 2" xfId="26008" xr:uid="{00000000-0005-0000-0000-00006F140000}"/>
    <cellStyle name="20% - Accent6 4 17 2 3" xfId="28572" xr:uid="{00000000-0005-0000-0000-000070140000}"/>
    <cellStyle name="20% - Accent6 4 17 3" xfId="9801" xr:uid="{00000000-0005-0000-0000-000071140000}"/>
    <cellStyle name="20% - Accent6 4 17 3 2" xfId="26009" xr:uid="{00000000-0005-0000-0000-000072140000}"/>
    <cellStyle name="20% - Accent6 4 17 3 3" xfId="28573" xr:uid="{00000000-0005-0000-0000-000073140000}"/>
    <cellStyle name="20% - Accent6 4 17 4" xfId="26007" xr:uid="{00000000-0005-0000-0000-000074140000}"/>
    <cellStyle name="20% - Accent6 4 17 5" xfId="28571" xr:uid="{00000000-0005-0000-0000-000075140000}"/>
    <cellStyle name="20% - Accent6 4 18" xfId="9802" xr:uid="{00000000-0005-0000-0000-000076140000}"/>
    <cellStyle name="20% - Accent6 4 18 2" xfId="26010" xr:uid="{00000000-0005-0000-0000-000077140000}"/>
    <cellStyle name="20% - Accent6 4 18 3" xfId="28574" xr:uid="{00000000-0005-0000-0000-000078140000}"/>
    <cellStyle name="20% - Accent6 4 19" xfId="9803" xr:uid="{00000000-0005-0000-0000-000079140000}"/>
    <cellStyle name="20% - Accent6 4 19 2" xfId="26011" xr:uid="{00000000-0005-0000-0000-00007A140000}"/>
    <cellStyle name="20% - Accent6 4 19 3" xfId="28575" xr:uid="{00000000-0005-0000-0000-00007B140000}"/>
    <cellStyle name="20% - Accent6 4 2" xfId="1498" xr:uid="{00000000-0005-0000-0000-00007C140000}"/>
    <cellStyle name="20% - Accent6 4 2 10" xfId="9804" xr:uid="{00000000-0005-0000-0000-00007D140000}"/>
    <cellStyle name="20% - Accent6 4 2 10 2" xfId="9805" xr:uid="{00000000-0005-0000-0000-00007E140000}"/>
    <cellStyle name="20% - Accent6 4 2 10 3" xfId="9806" xr:uid="{00000000-0005-0000-0000-00007F140000}"/>
    <cellStyle name="20% - Accent6 4 2 11" xfId="9807" xr:uid="{00000000-0005-0000-0000-000080140000}"/>
    <cellStyle name="20% - Accent6 4 2 11 2" xfId="9808" xr:uid="{00000000-0005-0000-0000-000081140000}"/>
    <cellStyle name="20% - Accent6 4 2 11 3" xfId="9809" xr:uid="{00000000-0005-0000-0000-000082140000}"/>
    <cellStyle name="20% - Accent6 4 2 12" xfId="9810" xr:uid="{00000000-0005-0000-0000-000083140000}"/>
    <cellStyle name="20% - Accent6 4 2 12 2" xfId="9811" xr:uid="{00000000-0005-0000-0000-000084140000}"/>
    <cellStyle name="20% - Accent6 4 2 12 3" xfId="9812" xr:uid="{00000000-0005-0000-0000-000085140000}"/>
    <cellStyle name="20% - Accent6 4 2 13" xfId="9813" xr:uid="{00000000-0005-0000-0000-000086140000}"/>
    <cellStyle name="20% - Accent6 4 2 14" xfId="9814" xr:uid="{00000000-0005-0000-0000-000087140000}"/>
    <cellStyle name="20% - Accent6 4 2 15" xfId="9815" xr:uid="{00000000-0005-0000-0000-000088140000}"/>
    <cellStyle name="20% - Accent6 4 2 16" xfId="9816" xr:uid="{00000000-0005-0000-0000-000089140000}"/>
    <cellStyle name="20% - Accent6 4 2 2" xfId="4435" xr:uid="{00000000-0005-0000-0000-00008A140000}"/>
    <cellStyle name="20% - Accent6 4 2 2 2" xfId="9818" xr:uid="{00000000-0005-0000-0000-00008B140000}"/>
    <cellStyle name="20% - Accent6 4 2 2 3" xfId="9819" xr:uid="{00000000-0005-0000-0000-00008C140000}"/>
    <cellStyle name="20% - Accent6 4 2 2 4" xfId="9817" xr:uid="{00000000-0005-0000-0000-00008D140000}"/>
    <cellStyle name="20% - Accent6 4 2 3" xfId="9820" xr:uid="{00000000-0005-0000-0000-00008E140000}"/>
    <cellStyle name="20% - Accent6 4 2 3 2" xfId="9821" xr:uid="{00000000-0005-0000-0000-00008F140000}"/>
    <cellStyle name="20% - Accent6 4 2 3 3" xfId="9822" xr:uid="{00000000-0005-0000-0000-000090140000}"/>
    <cellStyle name="20% - Accent6 4 2 4" xfId="9823" xr:uid="{00000000-0005-0000-0000-000091140000}"/>
    <cellStyle name="20% - Accent6 4 2 4 2" xfId="9824" xr:uid="{00000000-0005-0000-0000-000092140000}"/>
    <cellStyle name="20% - Accent6 4 2 4 3" xfId="9825" xr:uid="{00000000-0005-0000-0000-000093140000}"/>
    <cellStyle name="20% - Accent6 4 2 5" xfId="9826" xr:uid="{00000000-0005-0000-0000-000094140000}"/>
    <cellStyle name="20% - Accent6 4 2 5 2" xfId="9827" xr:uid="{00000000-0005-0000-0000-000095140000}"/>
    <cellStyle name="20% - Accent6 4 2 5 3" xfId="9828" xr:uid="{00000000-0005-0000-0000-000096140000}"/>
    <cellStyle name="20% - Accent6 4 2 6" xfId="9829" xr:uid="{00000000-0005-0000-0000-000097140000}"/>
    <cellStyle name="20% - Accent6 4 2 6 2" xfId="9830" xr:uid="{00000000-0005-0000-0000-000098140000}"/>
    <cellStyle name="20% - Accent6 4 2 6 3" xfId="9831" xr:uid="{00000000-0005-0000-0000-000099140000}"/>
    <cellStyle name="20% - Accent6 4 2 7" xfId="9832" xr:uid="{00000000-0005-0000-0000-00009A140000}"/>
    <cellStyle name="20% - Accent6 4 2 7 2" xfId="9833" xr:uid="{00000000-0005-0000-0000-00009B140000}"/>
    <cellStyle name="20% - Accent6 4 2 7 3" xfId="9834" xr:uid="{00000000-0005-0000-0000-00009C140000}"/>
    <cellStyle name="20% - Accent6 4 2 8" xfId="9835" xr:uid="{00000000-0005-0000-0000-00009D140000}"/>
    <cellStyle name="20% - Accent6 4 2 8 2" xfId="9836" xr:uid="{00000000-0005-0000-0000-00009E140000}"/>
    <cellStyle name="20% - Accent6 4 2 8 3" xfId="9837" xr:uid="{00000000-0005-0000-0000-00009F140000}"/>
    <cellStyle name="20% - Accent6 4 2 9" xfId="9838" xr:uid="{00000000-0005-0000-0000-0000A0140000}"/>
    <cellStyle name="20% - Accent6 4 2 9 2" xfId="9839" xr:uid="{00000000-0005-0000-0000-0000A1140000}"/>
    <cellStyle name="20% - Accent6 4 2 9 3" xfId="9840" xr:uid="{00000000-0005-0000-0000-0000A2140000}"/>
    <cellStyle name="20% - Accent6 4 20" xfId="9774" xr:uid="{00000000-0005-0000-0000-0000A3140000}"/>
    <cellStyle name="20% - Accent6 4 20 2" xfId="26012" xr:uid="{00000000-0005-0000-0000-0000A4140000}"/>
    <cellStyle name="20% - Accent6 4 21" xfId="28562" xr:uid="{00000000-0005-0000-0000-0000A5140000}"/>
    <cellStyle name="20% - Accent6 4 3" xfId="1623" xr:uid="{00000000-0005-0000-0000-0000A6140000}"/>
    <cellStyle name="20% - Accent6 4 3 2" xfId="4436" xr:uid="{00000000-0005-0000-0000-0000A7140000}"/>
    <cellStyle name="20% - Accent6 4 3 2 2" xfId="9841" xr:uid="{00000000-0005-0000-0000-0000A8140000}"/>
    <cellStyle name="20% - Accent6 4 3 3" xfId="9842" xr:uid="{00000000-0005-0000-0000-0000A9140000}"/>
    <cellStyle name="20% - Accent6 4 3 4" xfId="9843" xr:uid="{00000000-0005-0000-0000-0000AA140000}"/>
    <cellStyle name="20% - Accent6 4 3 5" xfId="9844" xr:uid="{00000000-0005-0000-0000-0000AB140000}"/>
    <cellStyle name="20% - Accent6 4 4" xfId="1799" xr:uid="{00000000-0005-0000-0000-0000AC140000}"/>
    <cellStyle name="20% - Accent6 4 4 2" xfId="9845" xr:uid="{00000000-0005-0000-0000-0000AD140000}"/>
    <cellStyle name="20% - Accent6 4 4 3" xfId="9846" xr:uid="{00000000-0005-0000-0000-0000AE140000}"/>
    <cellStyle name="20% - Accent6 4 4 4" xfId="9847" xr:uid="{00000000-0005-0000-0000-0000AF140000}"/>
    <cellStyle name="20% - Accent6 4 5" xfId="2135" xr:uid="{00000000-0005-0000-0000-0000B0140000}"/>
    <cellStyle name="20% - Accent6 4 5 2" xfId="9848" xr:uid="{00000000-0005-0000-0000-0000B1140000}"/>
    <cellStyle name="20% - Accent6 4 5 3" xfId="9849" xr:uid="{00000000-0005-0000-0000-0000B2140000}"/>
    <cellStyle name="20% - Accent6 4 5 4" xfId="9850" xr:uid="{00000000-0005-0000-0000-0000B3140000}"/>
    <cellStyle name="20% - Accent6 4 6" xfId="2509" xr:uid="{00000000-0005-0000-0000-0000B4140000}"/>
    <cellStyle name="20% - Accent6 4 6 2" xfId="9851" xr:uid="{00000000-0005-0000-0000-0000B5140000}"/>
    <cellStyle name="20% - Accent6 4 6 3" xfId="9852" xr:uid="{00000000-0005-0000-0000-0000B6140000}"/>
    <cellStyle name="20% - Accent6 4 6 4" xfId="9853" xr:uid="{00000000-0005-0000-0000-0000B7140000}"/>
    <cellStyle name="20% - Accent6 4 7" xfId="2881" xr:uid="{00000000-0005-0000-0000-0000B8140000}"/>
    <cellStyle name="20% - Accent6 4 7 2" xfId="9854" xr:uid="{00000000-0005-0000-0000-0000B9140000}"/>
    <cellStyle name="20% - Accent6 4 7 3" xfId="9855" xr:uid="{00000000-0005-0000-0000-0000BA140000}"/>
    <cellStyle name="20% - Accent6 4 7 4" xfId="9856" xr:uid="{00000000-0005-0000-0000-0000BB140000}"/>
    <cellStyle name="20% - Accent6 4 8" xfId="3252" xr:uid="{00000000-0005-0000-0000-0000BC140000}"/>
    <cellStyle name="20% - Accent6 4 8 2" xfId="9857" xr:uid="{00000000-0005-0000-0000-0000BD140000}"/>
    <cellStyle name="20% - Accent6 4 8 3" xfId="9858" xr:uid="{00000000-0005-0000-0000-0000BE140000}"/>
    <cellStyle name="20% - Accent6 4 8 4" xfId="9859" xr:uid="{00000000-0005-0000-0000-0000BF140000}"/>
    <cellStyle name="20% - Accent6 4 9" xfId="3587" xr:uid="{00000000-0005-0000-0000-0000C0140000}"/>
    <cellStyle name="20% - Accent6 4 9 2" xfId="4437" xr:uid="{00000000-0005-0000-0000-0000C1140000}"/>
    <cellStyle name="20% - Accent6 4 9 2 2" xfId="9860" xr:uid="{00000000-0005-0000-0000-0000C2140000}"/>
    <cellStyle name="20% - Accent6 4 9 3" xfId="9861" xr:uid="{00000000-0005-0000-0000-0000C3140000}"/>
    <cellStyle name="20% - Accent6 4 9 4" xfId="9862" xr:uid="{00000000-0005-0000-0000-0000C4140000}"/>
    <cellStyle name="20% - Accent6 4 9 5" xfId="9863" xr:uid="{00000000-0005-0000-0000-0000C5140000}"/>
    <cellStyle name="20% - Accent6 5" xfId="379" xr:uid="{00000000-0005-0000-0000-0000C6140000}"/>
    <cellStyle name="20% - Accent6 5 10" xfId="9864" xr:uid="{00000000-0005-0000-0000-0000C7140000}"/>
    <cellStyle name="20% - Accent6 5 10 2" xfId="9865" xr:uid="{00000000-0005-0000-0000-0000C8140000}"/>
    <cellStyle name="20% - Accent6 5 10 3" xfId="9866" xr:uid="{00000000-0005-0000-0000-0000C9140000}"/>
    <cellStyle name="20% - Accent6 5 11" xfId="9867" xr:uid="{00000000-0005-0000-0000-0000CA140000}"/>
    <cellStyle name="20% - Accent6 5 11 2" xfId="9868" xr:uid="{00000000-0005-0000-0000-0000CB140000}"/>
    <cellStyle name="20% - Accent6 5 11 3" xfId="9869" xr:uid="{00000000-0005-0000-0000-0000CC140000}"/>
    <cellStyle name="20% - Accent6 5 12" xfId="9870" xr:uid="{00000000-0005-0000-0000-0000CD140000}"/>
    <cellStyle name="20% - Accent6 5 12 2" xfId="9871" xr:uid="{00000000-0005-0000-0000-0000CE140000}"/>
    <cellStyle name="20% - Accent6 5 12 3" xfId="9872" xr:uid="{00000000-0005-0000-0000-0000CF140000}"/>
    <cellStyle name="20% - Accent6 5 13" xfId="9873" xr:uid="{00000000-0005-0000-0000-0000D0140000}"/>
    <cellStyle name="20% - Accent6 5 13 2" xfId="9874" xr:uid="{00000000-0005-0000-0000-0000D1140000}"/>
    <cellStyle name="20% - Accent6 5 13 3" xfId="9875" xr:uid="{00000000-0005-0000-0000-0000D2140000}"/>
    <cellStyle name="20% - Accent6 5 14" xfId="9876" xr:uid="{00000000-0005-0000-0000-0000D3140000}"/>
    <cellStyle name="20% - Accent6 5 15" xfId="9877" xr:uid="{00000000-0005-0000-0000-0000D4140000}"/>
    <cellStyle name="20% - Accent6 5 16" xfId="9878" xr:uid="{00000000-0005-0000-0000-0000D5140000}"/>
    <cellStyle name="20% - Accent6 5 17" xfId="9879" xr:uid="{00000000-0005-0000-0000-0000D6140000}"/>
    <cellStyle name="20% - Accent6 5 2" xfId="1863" xr:uid="{00000000-0005-0000-0000-0000D7140000}"/>
    <cellStyle name="20% - Accent6 5 2 10" xfId="9880" xr:uid="{00000000-0005-0000-0000-0000D8140000}"/>
    <cellStyle name="20% - Accent6 5 2 10 2" xfId="9881" xr:uid="{00000000-0005-0000-0000-0000D9140000}"/>
    <cellStyle name="20% - Accent6 5 2 10 3" xfId="9882" xr:uid="{00000000-0005-0000-0000-0000DA140000}"/>
    <cellStyle name="20% - Accent6 5 2 11" xfId="9883" xr:uid="{00000000-0005-0000-0000-0000DB140000}"/>
    <cellStyle name="20% - Accent6 5 2 11 2" xfId="9884" xr:uid="{00000000-0005-0000-0000-0000DC140000}"/>
    <cellStyle name="20% - Accent6 5 2 11 3" xfId="9885" xr:uid="{00000000-0005-0000-0000-0000DD140000}"/>
    <cellStyle name="20% - Accent6 5 2 12" xfId="9886" xr:uid="{00000000-0005-0000-0000-0000DE140000}"/>
    <cellStyle name="20% - Accent6 5 2 12 2" xfId="9887" xr:uid="{00000000-0005-0000-0000-0000DF140000}"/>
    <cellStyle name="20% - Accent6 5 2 12 3" xfId="9888" xr:uid="{00000000-0005-0000-0000-0000E0140000}"/>
    <cellStyle name="20% - Accent6 5 2 13" xfId="9889" xr:uid="{00000000-0005-0000-0000-0000E1140000}"/>
    <cellStyle name="20% - Accent6 5 2 14" xfId="9890" xr:uid="{00000000-0005-0000-0000-0000E2140000}"/>
    <cellStyle name="20% - Accent6 5 2 15" xfId="9891" xr:uid="{00000000-0005-0000-0000-0000E3140000}"/>
    <cellStyle name="20% - Accent6 5 2 2" xfId="9892" xr:uid="{00000000-0005-0000-0000-0000E4140000}"/>
    <cellStyle name="20% - Accent6 5 2 2 2" xfId="9893" xr:uid="{00000000-0005-0000-0000-0000E5140000}"/>
    <cellStyle name="20% - Accent6 5 2 2 3" xfId="9894" xr:uid="{00000000-0005-0000-0000-0000E6140000}"/>
    <cellStyle name="20% - Accent6 5 2 3" xfId="9895" xr:uid="{00000000-0005-0000-0000-0000E7140000}"/>
    <cellStyle name="20% - Accent6 5 2 3 2" xfId="9896" xr:uid="{00000000-0005-0000-0000-0000E8140000}"/>
    <cellStyle name="20% - Accent6 5 2 3 3" xfId="9897" xr:uid="{00000000-0005-0000-0000-0000E9140000}"/>
    <cellStyle name="20% - Accent6 5 2 4" xfId="9898" xr:uid="{00000000-0005-0000-0000-0000EA140000}"/>
    <cellStyle name="20% - Accent6 5 2 4 2" xfId="9899" xr:uid="{00000000-0005-0000-0000-0000EB140000}"/>
    <cellStyle name="20% - Accent6 5 2 4 3" xfId="9900" xr:uid="{00000000-0005-0000-0000-0000EC140000}"/>
    <cellStyle name="20% - Accent6 5 2 5" xfId="9901" xr:uid="{00000000-0005-0000-0000-0000ED140000}"/>
    <cellStyle name="20% - Accent6 5 2 5 2" xfId="9902" xr:uid="{00000000-0005-0000-0000-0000EE140000}"/>
    <cellStyle name="20% - Accent6 5 2 5 3" xfId="9903" xr:uid="{00000000-0005-0000-0000-0000EF140000}"/>
    <cellStyle name="20% - Accent6 5 2 6" xfId="9904" xr:uid="{00000000-0005-0000-0000-0000F0140000}"/>
    <cellStyle name="20% - Accent6 5 2 6 2" xfId="9905" xr:uid="{00000000-0005-0000-0000-0000F1140000}"/>
    <cellStyle name="20% - Accent6 5 2 6 3" xfId="9906" xr:uid="{00000000-0005-0000-0000-0000F2140000}"/>
    <cellStyle name="20% - Accent6 5 2 7" xfId="9907" xr:uid="{00000000-0005-0000-0000-0000F3140000}"/>
    <cellStyle name="20% - Accent6 5 2 7 2" xfId="9908" xr:uid="{00000000-0005-0000-0000-0000F4140000}"/>
    <cellStyle name="20% - Accent6 5 2 7 3" xfId="9909" xr:uid="{00000000-0005-0000-0000-0000F5140000}"/>
    <cellStyle name="20% - Accent6 5 2 8" xfId="9910" xr:uid="{00000000-0005-0000-0000-0000F6140000}"/>
    <cellStyle name="20% - Accent6 5 2 8 2" xfId="9911" xr:uid="{00000000-0005-0000-0000-0000F7140000}"/>
    <cellStyle name="20% - Accent6 5 2 8 3" xfId="9912" xr:uid="{00000000-0005-0000-0000-0000F8140000}"/>
    <cellStyle name="20% - Accent6 5 2 9" xfId="9913" xr:uid="{00000000-0005-0000-0000-0000F9140000}"/>
    <cellStyle name="20% - Accent6 5 2 9 2" xfId="9914" xr:uid="{00000000-0005-0000-0000-0000FA140000}"/>
    <cellStyle name="20% - Accent6 5 2 9 3" xfId="9915" xr:uid="{00000000-0005-0000-0000-0000FB140000}"/>
    <cellStyle name="20% - Accent6 5 3" xfId="2238" xr:uid="{00000000-0005-0000-0000-0000FC140000}"/>
    <cellStyle name="20% - Accent6 5 3 2" xfId="9916" xr:uid="{00000000-0005-0000-0000-0000FD140000}"/>
    <cellStyle name="20% - Accent6 5 3 3" xfId="9917" xr:uid="{00000000-0005-0000-0000-0000FE140000}"/>
    <cellStyle name="20% - Accent6 5 3 4" xfId="9918" xr:uid="{00000000-0005-0000-0000-0000FF140000}"/>
    <cellStyle name="20% - Accent6 5 4" xfId="2612" xr:uid="{00000000-0005-0000-0000-000000150000}"/>
    <cellStyle name="20% - Accent6 5 4 2" xfId="9919" xr:uid="{00000000-0005-0000-0000-000001150000}"/>
    <cellStyle name="20% - Accent6 5 4 3" xfId="9920" xr:uid="{00000000-0005-0000-0000-000002150000}"/>
    <cellStyle name="20% - Accent6 5 4 4" xfId="9921" xr:uid="{00000000-0005-0000-0000-000003150000}"/>
    <cellStyle name="20% - Accent6 5 5" xfId="2984" xr:uid="{00000000-0005-0000-0000-000004150000}"/>
    <cellStyle name="20% - Accent6 5 5 2" xfId="9922" xr:uid="{00000000-0005-0000-0000-000005150000}"/>
    <cellStyle name="20% - Accent6 5 5 3" xfId="9923" xr:uid="{00000000-0005-0000-0000-000006150000}"/>
    <cellStyle name="20% - Accent6 5 5 4" xfId="9924" xr:uid="{00000000-0005-0000-0000-000007150000}"/>
    <cellStyle name="20% - Accent6 5 6" xfId="3356" xr:uid="{00000000-0005-0000-0000-000008150000}"/>
    <cellStyle name="20% - Accent6 5 6 2" xfId="9925" xr:uid="{00000000-0005-0000-0000-000009150000}"/>
    <cellStyle name="20% - Accent6 5 6 3" xfId="9926" xr:uid="{00000000-0005-0000-0000-00000A150000}"/>
    <cellStyle name="20% - Accent6 5 6 4" xfId="9927" xr:uid="{00000000-0005-0000-0000-00000B150000}"/>
    <cellStyle name="20% - Accent6 5 7" xfId="4438" xr:uid="{00000000-0005-0000-0000-00000C150000}"/>
    <cellStyle name="20% - Accent6 5 7 2" xfId="9929" xr:uid="{00000000-0005-0000-0000-00000D150000}"/>
    <cellStyle name="20% - Accent6 5 7 3" xfId="9930" xr:uid="{00000000-0005-0000-0000-00000E150000}"/>
    <cellStyle name="20% - Accent6 5 7 4" xfId="9928" xr:uid="{00000000-0005-0000-0000-00000F150000}"/>
    <cellStyle name="20% - Accent6 5 8" xfId="9931" xr:uid="{00000000-0005-0000-0000-000010150000}"/>
    <cellStyle name="20% - Accent6 5 8 2" xfId="9932" xr:uid="{00000000-0005-0000-0000-000011150000}"/>
    <cellStyle name="20% - Accent6 5 8 3" xfId="9933" xr:uid="{00000000-0005-0000-0000-000012150000}"/>
    <cellStyle name="20% - Accent6 5 9" xfId="9934" xr:uid="{00000000-0005-0000-0000-000013150000}"/>
    <cellStyle name="20% - Accent6 5 9 2" xfId="9935" xr:uid="{00000000-0005-0000-0000-000014150000}"/>
    <cellStyle name="20% - Accent6 5 9 3" xfId="9936" xr:uid="{00000000-0005-0000-0000-000015150000}"/>
    <cellStyle name="20% - Accent6 6" xfId="380" xr:uid="{00000000-0005-0000-0000-000016150000}"/>
    <cellStyle name="20% - Accent6 6 10" xfId="5368" xr:uid="{00000000-0005-0000-0000-000017150000}"/>
    <cellStyle name="20% - Accent6 6 10 2" xfId="6181" xr:uid="{00000000-0005-0000-0000-000018150000}"/>
    <cellStyle name="20% - Accent6 6 10 2 2" xfId="9939" xr:uid="{00000000-0005-0000-0000-000019150000}"/>
    <cellStyle name="20% - Accent6 6 10 2 3" xfId="26015" xr:uid="{00000000-0005-0000-0000-00001A150000}"/>
    <cellStyle name="20% - Accent6 6 10 3" xfId="9940" xr:uid="{00000000-0005-0000-0000-00001B150000}"/>
    <cellStyle name="20% - Accent6 6 10 4" xfId="9938" xr:uid="{00000000-0005-0000-0000-00001C150000}"/>
    <cellStyle name="20% - Accent6 6 10 5" xfId="26014" xr:uid="{00000000-0005-0000-0000-00001D150000}"/>
    <cellStyle name="20% - Accent6 6 11" xfId="5678" xr:uid="{00000000-0005-0000-0000-00001E150000}"/>
    <cellStyle name="20% - Accent6 6 11 2" xfId="6182" xr:uid="{00000000-0005-0000-0000-00001F150000}"/>
    <cellStyle name="20% - Accent6 6 11 2 2" xfId="9942" xr:uid="{00000000-0005-0000-0000-000020150000}"/>
    <cellStyle name="20% - Accent6 6 11 2 3" xfId="26017" xr:uid="{00000000-0005-0000-0000-000021150000}"/>
    <cellStyle name="20% - Accent6 6 11 3" xfId="9943" xr:uid="{00000000-0005-0000-0000-000022150000}"/>
    <cellStyle name="20% - Accent6 6 11 4" xfId="9941" xr:uid="{00000000-0005-0000-0000-000023150000}"/>
    <cellStyle name="20% - Accent6 6 11 5" xfId="26016" xr:uid="{00000000-0005-0000-0000-000024150000}"/>
    <cellStyle name="20% - Accent6 6 12" xfId="4439" xr:uid="{00000000-0005-0000-0000-000025150000}"/>
    <cellStyle name="20% - Accent6 6 12 2" xfId="6183" xr:uid="{00000000-0005-0000-0000-000026150000}"/>
    <cellStyle name="20% - Accent6 6 12 2 2" xfId="9945" xr:uid="{00000000-0005-0000-0000-000027150000}"/>
    <cellStyle name="20% - Accent6 6 12 2 3" xfId="26019" xr:uid="{00000000-0005-0000-0000-000028150000}"/>
    <cellStyle name="20% - Accent6 6 12 3" xfId="9946" xr:uid="{00000000-0005-0000-0000-000029150000}"/>
    <cellStyle name="20% - Accent6 6 12 4" xfId="9944" xr:uid="{00000000-0005-0000-0000-00002A150000}"/>
    <cellStyle name="20% - Accent6 6 12 5" xfId="26018" xr:uid="{00000000-0005-0000-0000-00002B150000}"/>
    <cellStyle name="20% - Accent6 6 13" xfId="6180" xr:uid="{00000000-0005-0000-0000-00002C150000}"/>
    <cellStyle name="20% - Accent6 6 13 2" xfId="9947" xr:uid="{00000000-0005-0000-0000-00002D150000}"/>
    <cellStyle name="20% - Accent6 6 13 3" xfId="26020" xr:uid="{00000000-0005-0000-0000-00002E150000}"/>
    <cellStyle name="20% - Accent6 6 14" xfId="9948" xr:uid="{00000000-0005-0000-0000-00002F150000}"/>
    <cellStyle name="20% - Accent6 6 15" xfId="9949" xr:uid="{00000000-0005-0000-0000-000030150000}"/>
    <cellStyle name="20% - Accent6 6 16" xfId="9950" xr:uid="{00000000-0005-0000-0000-000031150000}"/>
    <cellStyle name="20% - Accent6 6 16 2" xfId="9951" xr:uid="{00000000-0005-0000-0000-000032150000}"/>
    <cellStyle name="20% - Accent6 6 16 2 2" xfId="26022" xr:uid="{00000000-0005-0000-0000-000033150000}"/>
    <cellStyle name="20% - Accent6 6 16 2 3" xfId="28578" xr:uid="{00000000-0005-0000-0000-000034150000}"/>
    <cellStyle name="20% - Accent6 6 16 3" xfId="9952" xr:uid="{00000000-0005-0000-0000-000035150000}"/>
    <cellStyle name="20% - Accent6 6 16 3 2" xfId="26023" xr:uid="{00000000-0005-0000-0000-000036150000}"/>
    <cellStyle name="20% - Accent6 6 16 3 3" xfId="28579" xr:uid="{00000000-0005-0000-0000-000037150000}"/>
    <cellStyle name="20% - Accent6 6 16 4" xfId="26021" xr:uid="{00000000-0005-0000-0000-000038150000}"/>
    <cellStyle name="20% - Accent6 6 16 5" xfId="28577" xr:uid="{00000000-0005-0000-0000-000039150000}"/>
    <cellStyle name="20% - Accent6 6 17" xfId="9953" xr:uid="{00000000-0005-0000-0000-00003A150000}"/>
    <cellStyle name="20% - Accent6 6 17 2" xfId="26024" xr:uid="{00000000-0005-0000-0000-00003B150000}"/>
    <cellStyle name="20% - Accent6 6 17 3" xfId="28580" xr:uid="{00000000-0005-0000-0000-00003C150000}"/>
    <cellStyle name="20% - Accent6 6 18" xfId="9954" xr:uid="{00000000-0005-0000-0000-00003D150000}"/>
    <cellStyle name="20% - Accent6 6 18 2" xfId="26025" xr:uid="{00000000-0005-0000-0000-00003E150000}"/>
    <cellStyle name="20% - Accent6 6 18 3" xfId="28581" xr:uid="{00000000-0005-0000-0000-00003F150000}"/>
    <cellStyle name="20% - Accent6 6 19" xfId="9937" xr:uid="{00000000-0005-0000-0000-000040150000}"/>
    <cellStyle name="20% - Accent6 6 19 2" xfId="26026" xr:uid="{00000000-0005-0000-0000-000041150000}"/>
    <cellStyle name="20% - Accent6 6 2" xfId="1974" xr:uid="{00000000-0005-0000-0000-000042150000}"/>
    <cellStyle name="20% - Accent6 6 2 2" xfId="4440" xr:uid="{00000000-0005-0000-0000-000043150000}"/>
    <cellStyle name="20% - Accent6 6 2 2 2" xfId="9955" xr:uid="{00000000-0005-0000-0000-000044150000}"/>
    <cellStyle name="20% - Accent6 6 2 3" xfId="9956" xr:uid="{00000000-0005-0000-0000-000045150000}"/>
    <cellStyle name="20% - Accent6 6 2 4" xfId="9957" xr:uid="{00000000-0005-0000-0000-000046150000}"/>
    <cellStyle name="20% - Accent6 6 2 5" xfId="9958" xr:uid="{00000000-0005-0000-0000-000047150000}"/>
    <cellStyle name="20% - Accent6 6 20" xfId="24836" xr:uid="{00000000-0005-0000-0000-000048150000}"/>
    <cellStyle name="20% - Accent6 6 21" xfId="26013" xr:uid="{00000000-0005-0000-0000-000049150000}"/>
    <cellStyle name="20% - Accent6 6 22" xfId="28576" xr:uid="{00000000-0005-0000-0000-00004A150000}"/>
    <cellStyle name="20% - Accent6 6 3" xfId="2349" xr:uid="{00000000-0005-0000-0000-00004B150000}"/>
    <cellStyle name="20% - Accent6 6 3 2" xfId="4441" xr:uid="{00000000-0005-0000-0000-00004C150000}"/>
    <cellStyle name="20% - Accent6 6 3 2 2" xfId="9959" xr:uid="{00000000-0005-0000-0000-00004D150000}"/>
    <cellStyle name="20% - Accent6 6 3 3" xfId="9960" xr:uid="{00000000-0005-0000-0000-00004E150000}"/>
    <cellStyle name="20% - Accent6 6 3 4" xfId="9961" xr:uid="{00000000-0005-0000-0000-00004F150000}"/>
    <cellStyle name="20% - Accent6 6 3 5" xfId="9962" xr:uid="{00000000-0005-0000-0000-000050150000}"/>
    <cellStyle name="20% - Accent6 6 4" xfId="2722" xr:uid="{00000000-0005-0000-0000-000051150000}"/>
    <cellStyle name="20% - Accent6 6 4 2" xfId="4442" xr:uid="{00000000-0005-0000-0000-000052150000}"/>
    <cellStyle name="20% - Accent6 6 4 2 2" xfId="9963" xr:uid="{00000000-0005-0000-0000-000053150000}"/>
    <cellStyle name="20% - Accent6 6 4 3" xfId="9964" xr:uid="{00000000-0005-0000-0000-000054150000}"/>
    <cellStyle name="20% - Accent6 6 4 4" xfId="9965" xr:uid="{00000000-0005-0000-0000-000055150000}"/>
    <cellStyle name="20% - Accent6 6 4 5" xfId="9966" xr:uid="{00000000-0005-0000-0000-000056150000}"/>
    <cellStyle name="20% - Accent6 6 5" xfId="3095" xr:uid="{00000000-0005-0000-0000-000057150000}"/>
    <cellStyle name="20% - Accent6 6 5 2" xfId="4443" xr:uid="{00000000-0005-0000-0000-000058150000}"/>
    <cellStyle name="20% - Accent6 6 5 2 2" xfId="9967" xr:uid="{00000000-0005-0000-0000-000059150000}"/>
    <cellStyle name="20% - Accent6 6 5 3" xfId="9968" xr:uid="{00000000-0005-0000-0000-00005A150000}"/>
    <cellStyle name="20% - Accent6 6 5 4" xfId="9969" xr:uid="{00000000-0005-0000-0000-00005B150000}"/>
    <cellStyle name="20% - Accent6 6 5 5" xfId="9970" xr:uid="{00000000-0005-0000-0000-00005C150000}"/>
    <cellStyle name="20% - Accent6 6 6" xfId="3466" xr:uid="{00000000-0005-0000-0000-00005D150000}"/>
    <cellStyle name="20% - Accent6 6 6 2" xfId="4444" xr:uid="{00000000-0005-0000-0000-00005E150000}"/>
    <cellStyle name="20% - Accent6 6 6 2 2" xfId="9971" xr:uid="{00000000-0005-0000-0000-00005F150000}"/>
    <cellStyle name="20% - Accent6 6 6 3" xfId="9972" xr:uid="{00000000-0005-0000-0000-000060150000}"/>
    <cellStyle name="20% - Accent6 6 6 4" xfId="9973" xr:uid="{00000000-0005-0000-0000-000061150000}"/>
    <cellStyle name="20% - Accent6 6 6 5" xfId="9974" xr:uid="{00000000-0005-0000-0000-000062150000}"/>
    <cellStyle name="20% - Accent6 6 7" xfId="3772" xr:uid="{00000000-0005-0000-0000-000063150000}"/>
    <cellStyle name="20% - Accent6 6 7 2" xfId="4445" xr:uid="{00000000-0005-0000-0000-000064150000}"/>
    <cellStyle name="20% - Accent6 6 7 2 2" xfId="9975" xr:uid="{00000000-0005-0000-0000-000065150000}"/>
    <cellStyle name="20% - Accent6 6 7 3" xfId="9976" xr:uid="{00000000-0005-0000-0000-000066150000}"/>
    <cellStyle name="20% - Accent6 6 7 4" xfId="9977" xr:uid="{00000000-0005-0000-0000-000067150000}"/>
    <cellStyle name="20% - Accent6 6 7 5" xfId="9978" xr:uid="{00000000-0005-0000-0000-000068150000}"/>
    <cellStyle name="20% - Accent6 6 8" xfId="1365" xr:uid="{00000000-0005-0000-0000-000069150000}"/>
    <cellStyle name="20% - Accent6 6 8 10" xfId="26027" xr:uid="{00000000-0005-0000-0000-00006A150000}"/>
    <cellStyle name="20% - Accent6 6 8 11" xfId="28582" xr:uid="{00000000-0005-0000-0000-00006B150000}"/>
    <cellStyle name="20% - Accent6 6 8 2" xfId="4165" xr:uid="{00000000-0005-0000-0000-00006C150000}"/>
    <cellStyle name="20% - Accent6 6 8 2 2" xfId="5370" xr:uid="{00000000-0005-0000-0000-00006D150000}"/>
    <cellStyle name="20% - Accent6 6 8 2 2 2" xfId="6186" xr:uid="{00000000-0005-0000-0000-00006E150000}"/>
    <cellStyle name="20% - Accent6 6 8 2 2 2 2" xfId="26030" xr:uid="{00000000-0005-0000-0000-00006F150000}"/>
    <cellStyle name="20% - Accent6 6 8 2 2 3" xfId="9981" xr:uid="{00000000-0005-0000-0000-000070150000}"/>
    <cellStyle name="20% - Accent6 6 8 2 2 4" xfId="26029" xr:uid="{00000000-0005-0000-0000-000071150000}"/>
    <cellStyle name="20% - Accent6 6 8 2 3" xfId="5680" xr:uid="{00000000-0005-0000-0000-000072150000}"/>
    <cellStyle name="20% - Accent6 6 8 2 3 2" xfId="6187" xr:uid="{00000000-0005-0000-0000-000073150000}"/>
    <cellStyle name="20% - Accent6 6 8 2 3 2 2" xfId="26032" xr:uid="{00000000-0005-0000-0000-000074150000}"/>
    <cellStyle name="20% - Accent6 6 8 2 3 3" xfId="26031" xr:uid="{00000000-0005-0000-0000-000075150000}"/>
    <cellStyle name="20% - Accent6 6 8 2 4" xfId="4447" xr:uid="{00000000-0005-0000-0000-000076150000}"/>
    <cellStyle name="20% - Accent6 6 8 2 4 2" xfId="6188" xr:uid="{00000000-0005-0000-0000-000077150000}"/>
    <cellStyle name="20% - Accent6 6 8 2 4 2 2" xfId="26034" xr:uid="{00000000-0005-0000-0000-000078150000}"/>
    <cellStyle name="20% - Accent6 6 8 2 4 3" xfId="26033" xr:uid="{00000000-0005-0000-0000-000079150000}"/>
    <cellStyle name="20% - Accent6 6 8 2 5" xfId="6185" xr:uid="{00000000-0005-0000-0000-00007A150000}"/>
    <cellStyle name="20% - Accent6 6 8 2 5 2" xfId="26035" xr:uid="{00000000-0005-0000-0000-00007B150000}"/>
    <cellStyle name="20% - Accent6 6 8 2 6" xfId="9980" xr:uid="{00000000-0005-0000-0000-00007C150000}"/>
    <cellStyle name="20% - Accent6 6 8 2 6 2" xfId="26036" xr:uid="{00000000-0005-0000-0000-00007D150000}"/>
    <cellStyle name="20% - Accent6 6 8 2 7" xfId="25017" xr:uid="{00000000-0005-0000-0000-00007E150000}"/>
    <cellStyle name="20% - Accent6 6 8 2 8" xfId="26028" xr:uid="{00000000-0005-0000-0000-00007F150000}"/>
    <cellStyle name="20% - Accent6 6 8 2 9" xfId="28583" xr:uid="{00000000-0005-0000-0000-000080150000}"/>
    <cellStyle name="20% - Accent6 6 8 3" xfId="5369" xr:uid="{00000000-0005-0000-0000-000081150000}"/>
    <cellStyle name="20% - Accent6 6 8 3 2" xfId="6189" xr:uid="{00000000-0005-0000-0000-000082150000}"/>
    <cellStyle name="20% - Accent6 6 8 3 2 2" xfId="26038" xr:uid="{00000000-0005-0000-0000-000083150000}"/>
    <cellStyle name="20% - Accent6 6 8 3 3" xfId="9982" xr:uid="{00000000-0005-0000-0000-000084150000}"/>
    <cellStyle name="20% - Accent6 6 8 3 4" xfId="26037" xr:uid="{00000000-0005-0000-0000-000085150000}"/>
    <cellStyle name="20% - Accent6 6 8 4" xfId="5679" xr:uid="{00000000-0005-0000-0000-000086150000}"/>
    <cellStyle name="20% - Accent6 6 8 4 2" xfId="6190" xr:uid="{00000000-0005-0000-0000-000087150000}"/>
    <cellStyle name="20% - Accent6 6 8 4 2 2" xfId="26040" xr:uid="{00000000-0005-0000-0000-000088150000}"/>
    <cellStyle name="20% - Accent6 6 8 4 3" xfId="9983" xr:uid="{00000000-0005-0000-0000-000089150000}"/>
    <cellStyle name="20% - Accent6 6 8 4 4" xfId="26039" xr:uid="{00000000-0005-0000-0000-00008A150000}"/>
    <cellStyle name="20% - Accent6 6 8 5" xfId="4446" xr:uid="{00000000-0005-0000-0000-00008B150000}"/>
    <cellStyle name="20% - Accent6 6 8 5 2" xfId="6191" xr:uid="{00000000-0005-0000-0000-00008C150000}"/>
    <cellStyle name="20% - Accent6 6 8 5 2 2" xfId="9985" xr:uid="{00000000-0005-0000-0000-00008D150000}"/>
    <cellStyle name="20% - Accent6 6 8 5 2 2 2" xfId="26043" xr:uid="{00000000-0005-0000-0000-00008E150000}"/>
    <cellStyle name="20% - Accent6 6 8 5 2 3" xfId="26042" xr:uid="{00000000-0005-0000-0000-00008F150000}"/>
    <cellStyle name="20% - Accent6 6 8 5 2 4" xfId="28585" xr:uid="{00000000-0005-0000-0000-000090150000}"/>
    <cellStyle name="20% - Accent6 6 8 5 3" xfId="9986" xr:uid="{00000000-0005-0000-0000-000091150000}"/>
    <cellStyle name="20% - Accent6 6 8 5 3 2" xfId="26044" xr:uid="{00000000-0005-0000-0000-000092150000}"/>
    <cellStyle name="20% - Accent6 6 8 5 3 3" xfId="28586" xr:uid="{00000000-0005-0000-0000-000093150000}"/>
    <cellStyle name="20% - Accent6 6 8 5 4" xfId="9984" xr:uid="{00000000-0005-0000-0000-000094150000}"/>
    <cellStyle name="20% - Accent6 6 8 5 4 2" xfId="26045" xr:uid="{00000000-0005-0000-0000-000095150000}"/>
    <cellStyle name="20% - Accent6 6 8 5 5" xfId="26041" xr:uid="{00000000-0005-0000-0000-000096150000}"/>
    <cellStyle name="20% - Accent6 6 8 5 6" xfId="28584" xr:uid="{00000000-0005-0000-0000-000097150000}"/>
    <cellStyle name="20% - Accent6 6 8 6" xfId="6184" xr:uid="{00000000-0005-0000-0000-000098150000}"/>
    <cellStyle name="20% - Accent6 6 8 6 2" xfId="9987" xr:uid="{00000000-0005-0000-0000-000099150000}"/>
    <cellStyle name="20% - Accent6 6 8 6 2 2" xfId="26047" xr:uid="{00000000-0005-0000-0000-00009A150000}"/>
    <cellStyle name="20% - Accent6 6 8 6 3" xfId="26046" xr:uid="{00000000-0005-0000-0000-00009B150000}"/>
    <cellStyle name="20% - Accent6 6 8 6 4" xfId="28587" xr:uid="{00000000-0005-0000-0000-00009C150000}"/>
    <cellStyle name="20% - Accent6 6 8 7" xfId="9988" xr:uid="{00000000-0005-0000-0000-00009D150000}"/>
    <cellStyle name="20% - Accent6 6 8 7 2" xfId="26048" xr:uid="{00000000-0005-0000-0000-00009E150000}"/>
    <cellStyle name="20% - Accent6 6 8 7 3" xfId="28588" xr:uid="{00000000-0005-0000-0000-00009F150000}"/>
    <cellStyle name="20% - Accent6 6 8 8" xfId="9979" xr:uid="{00000000-0005-0000-0000-0000A0150000}"/>
    <cellStyle name="20% - Accent6 6 8 8 2" xfId="26049" xr:uid="{00000000-0005-0000-0000-0000A1150000}"/>
    <cellStyle name="20% - Accent6 6 8 9" xfId="24897" xr:uid="{00000000-0005-0000-0000-0000A2150000}"/>
    <cellStyle name="20% - Accent6 6 9" xfId="3822" xr:uid="{00000000-0005-0000-0000-0000A3150000}"/>
    <cellStyle name="20% - Accent6 6 9 2" xfId="5371" xr:uid="{00000000-0005-0000-0000-0000A4150000}"/>
    <cellStyle name="20% - Accent6 6 9 2 2" xfId="6193" xr:uid="{00000000-0005-0000-0000-0000A5150000}"/>
    <cellStyle name="20% - Accent6 6 9 2 2 2" xfId="26052" xr:uid="{00000000-0005-0000-0000-0000A6150000}"/>
    <cellStyle name="20% - Accent6 6 9 2 3" xfId="9990" xr:uid="{00000000-0005-0000-0000-0000A7150000}"/>
    <cellStyle name="20% - Accent6 6 9 2 4" xfId="26051" xr:uid="{00000000-0005-0000-0000-0000A8150000}"/>
    <cellStyle name="20% - Accent6 6 9 3" xfId="5681" xr:uid="{00000000-0005-0000-0000-0000A9150000}"/>
    <cellStyle name="20% - Accent6 6 9 3 2" xfId="6194" xr:uid="{00000000-0005-0000-0000-0000AA150000}"/>
    <cellStyle name="20% - Accent6 6 9 3 2 2" xfId="26054" xr:uid="{00000000-0005-0000-0000-0000AB150000}"/>
    <cellStyle name="20% - Accent6 6 9 3 3" xfId="9991" xr:uid="{00000000-0005-0000-0000-0000AC150000}"/>
    <cellStyle name="20% - Accent6 6 9 3 4" xfId="26053" xr:uid="{00000000-0005-0000-0000-0000AD150000}"/>
    <cellStyle name="20% - Accent6 6 9 4" xfId="4448" xr:uid="{00000000-0005-0000-0000-0000AE150000}"/>
    <cellStyle name="20% - Accent6 6 9 4 2" xfId="6195" xr:uid="{00000000-0005-0000-0000-0000AF150000}"/>
    <cellStyle name="20% - Accent6 6 9 4 2 2" xfId="26056" xr:uid="{00000000-0005-0000-0000-0000B0150000}"/>
    <cellStyle name="20% - Accent6 6 9 4 3" xfId="9992" xr:uid="{00000000-0005-0000-0000-0000B1150000}"/>
    <cellStyle name="20% - Accent6 6 9 4 4" xfId="26055" xr:uid="{00000000-0005-0000-0000-0000B2150000}"/>
    <cellStyle name="20% - Accent6 6 9 5" xfId="6192" xr:uid="{00000000-0005-0000-0000-0000B3150000}"/>
    <cellStyle name="20% - Accent6 6 9 5 2" xfId="26057" xr:uid="{00000000-0005-0000-0000-0000B4150000}"/>
    <cellStyle name="20% - Accent6 6 9 6" xfId="9989" xr:uid="{00000000-0005-0000-0000-0000B5150000}"/>
    <cellStyle name="20% - Accent6 6 9 6 2" xfId="26058" xr:uid="{00000000-0005-0000-0000-0000B6150000}"/>
    <cellStyle name="20% - Accent6 6 9 7" xfId="24958" xr:uid="{00000000-0005-0000-0000-0000B7150000}"/>
    <cellStyle name="20% - Accent6 6 9 8" xfId="26050" xr:uid="{00000000-0005-0000-0000-0000B8150000}"/>
    <cellStyle name="20% - Accent6 6 9 9" xfId="28589" xr:uid="{00000000-0005-0000-0000-0000B9150000}"/>
    <cellStyle name="20% - Accent6 7" xfId="381" xr:uid="{00000000-0005-0000-0000-0000BA150000}"/>
    <cellStyle name="20% - Accent6 7 10" xfId="9993" xr:uid="{00000000-0005-0000-0000-0000BB150000}"/>
    <cellStyle name="20% - Accent6 7 10 2" xfId="9994" xr:uid="{00000000-0005-0000-0000-0000BC150000}"/>
    <cellStyle name="20% - Accent6 7 10 3" xfId="9995" xr:uid="{00000000-0005-0000-0000-0000BD150000}"/>
    <cellStyle name="20% - Accent6 7 11" xfId="9996" xr:uid="{00000000-0005-0000-0000-0000BE150000}"/>
    <cellStyle name="20% - Accent6 7 11 2" xfId="9997" xr:uid="{00000000-0005-0000-0000-0000BF150000}"/>
    <cellStyle name="20% - Accent6 7 11 3" xfId="9998" xr:uid="{00000000-0005-0000-0000-0000C0150000}"/>
    <cellStyle name="20% - Accent6 7 12" xfId="9999" xr:uid="{00000000-0005-0000-0000-0000C1150000}"/>
    <cellStyle name="20% - Accent6 7 12 2" xfId="10000" xr:uid="{00000000-0005-0000-0000-0000C2150000}"/>
    <cellStyle name="20% - Accent6 7 12 3" xfId="10001" xr:uid="{00000000-0005-0000-0000-0000C3150000}"/>
    <cellStyle name="20% - Accent6 7 13" xfId="10002" xr:uid="{00000000-0005-0000-0000-0000C4150000}"/>
    <cellStyle name="20% - Accent6 7 14" xfId="10003" xr:uid="{00000000-0005-0000-0000-0000C5150000}"/>
    <cellStyle name="20% - Accent6 7 15" xfId="10004" xr:uid="{00000000-0005-0000-0000-0000C6150000}"/>
    <cellStyle name="20% - Accent6 7 16" xfId="10005" xr:uid="{00000000-0005-0000-0000-0000C7150000}"/>
    <cellStyle name="20% - Accent6 7 2" xfId="4449" xr:uid="{00000000-0005-0000-0000-0000C8150000}"/>
    <cellStyle name="20% - Accent6 7 2 2" xfId="10007" xr:uid="{00000000-0005-0000-0000-0000C9150000}"/>
    <cellStyle name="20% - Accent6 7 2 3" xfId="10008" xr:uid="{00000000-0005-0000-0000-0000CA150000}"/>
    <cellStyle name="20% - Accent6 7 2 4" xfId="10006" xr:uid="{00000000-0005-0000-0000-0000CB150000}"/>
    <cellStyle name="20% - Accent6 7 3" xfId="10009" xr:uid="{00000000-0005-0000-0000-0000CC150000}"/>
    <cellStyle name="20% - Accent6 7 3 2" xfId="10010" xr:uid="{00000000-0005-0000-0000-0000CD150000}"/>
    <cellStyle name="20% - Accent6 7 3 3" xfId="10011" xr:uid="{00000000-0005-0000-0000-0000CE150000}"/>
    <cellStyle name="20% - Accent6 7 4" xfId="10012" xr:uid="{00000000-0005-0000-0000-0000CF150000}"/>
    <cellStyle name="20% - Accent6 7 4 2" xfId="10013" xr:uid="{00000000-0005-0000-0000-0000D0150000}"/>
    <cellStyle name="20% - Accent6 7 4 3" xfId="10014" xr:uid="{00000000-0005-0000-0000-0000D1150000}"/>
    <cellStyle name="20% - Accent6 7 5" xfId="10015" xr:uid="{00000000-0005-0000-0000-0000D2150000}"/>
    <cellStyle name="20% - Accent6 7 5 2" xfId="10016" xr:uid="{00000000-0005-0000-0000-0000D3150000}"/>
    <cellStyle name="20% - Accent6 7 5 3" xfId="10017" xr:uid="{00000000-0005-0000-0000-0000D4150000}"/>
    <cellStyle name="20% - Accent6 7 6" xfId="10018" xr:uid="{00000000-0005-0000-0000-0000D5150000}"/>
    <cellStyle name="20% - Accent6 7 6 2" xfId="10019" xr:uid="{00000000-0005-0000-0000-0000D6150000}"/>
    <cellStyle name="20% - Accent6 7 6 3" xfId="10020" xr:uid="{00000000-0005-0000-0000-0000D7150000}"/>
    <cellStyle name="20% - Accent6 7 7" xfId="10021" xr:uid="{00000000-0005-0000-0000-0000D8150000}"/>
    <cellStyle name="20% - Accent6 7 7 2" xfId="10022" xr:uid="{00000000-0005-0000-0000-0000D9150000}"/>
    <cellStyle name="20% - Accent6 7 7 3" xfId="10023" xr:uid="{00000000-0005-0000-0000-0000DA150000}"/>
    <cellStyle name="20% - Accent6 7 8" xfId="10024" xr:uid="{00000000-0005-0000-0000-0000DB150000}"/>
    <cellStyle name="20% - Accent6 7 8 2" xfId="10025" xr:uid="{00000000-0005-0000-0000-0000DC150000}"/>
    <cellStyle name="20% - Accent6 7 8 3" xfId="10026" xr:uid="{00000000-0005-0000-0000-0000DD150000}"/>
    <cellStyle name="20% - Accent6 7 9" xfId="10027" xr:uid="{00000000-0005-0000-0000-0000DE150000}"/>
    <cellStyle name="20% - Accent6 7 9 2" xfId="10028" xr:uid="{00000000-0005-0000-0000-0000DF150000}"/>
    <cellStyle name="20% - Accent6 7 9 3" xfId="10029" xr:uid="{00000000-0005-0000-0000-0000E0150000}"/>
    <cellStyle name="20% - Accent6 8" xfId="535" xr:uid="{00000000-0005-0000-0000-0000E1150000}"/>
    <cellStyle name="20% - Accent6 8 10" xfId="24850" xr:uid="{00000000-0005-0000-0000-0000E2150000}"/>
    <cellStyle name="20% - Accent6 8 11" xfId="26059" xr:uid="{00000000-0005-0000-0000-0000E3150000}"/>
    <cellStyle name="20% - Accent6 8 12" xfId="28590" xr:uid="{00000000-0005-0000-0000-0000E4150000}"/>
    <cellStyle name="20% - Accent6 8 2" xfId="1382" xr:uid="{00000000-0005-0000-0000-0000E5150000}"/>
    <cellStyle name="20% - Accent6 8 2 10" xfId="26060" xr:uid="{00000000-0005-0000-0000-0000E6150000}"/>
    <cellStyle name="20% - Accent6 8 2 11" xfId="28591" xr:uid="{00000000-0005-0000-0000-0000E7150000}"/>
    <cellStyle name="20% - Accent6 8 2 2" xfId="4182" xr:uid="{00000000-0005-0000-0000-0000E8150000}"/>
    <cellStyle name="20% - Accent6 8 2 2 2" xfId="5374" xr:uid="{00000000-0005-0000-0000-0000E9150000}"/>
    <cellStyle name="20% - Accent6 8 2 2 2 2" xfId="6199" xr:uid="{00000000-0005-0000-0000-0000EA150000}"/>
    <cellStyle name="20% - Accent6 8 2 2 2 2 2" xfId="26063" xr:uid="{00000000-0005-0000-0000-0000EB150000}"/>
    <cellStyle name="20% - Accent6 8 2 2 2 3" xfId="10033" xr:uid="{00000000-0005-0000-0000-0000EC150000}"/>
    <cellStyle name="20% - Accent6 8 2 2 2 4" xfId="26062" xr:uid="{00000000-0005-0000-0000-0000ED150000}"/>
    <cellStyle name="20% - Accent6 8 2 2 3" xfId="5684" xr:uid="{00000000-0005-0000-0000-0000EE150000}"/>
    <cellStyle name="20% - Accent6 8 2 2 3 2" xfId="6200" xr:uid="{00000000-0005-0000-0000-0000EF150000}"/>
    <cellStyle name="20% - Accent6 8 2 2 3 2 2" xfId="26065" xr:uid="{00000000-0005-0000-0000-0000F0150000}"/>
    <cellStyle name="20% - Accent6 8 2 2 3 3" xfId="26064" xr:uid="{00000000-0005-0000-0000-0000F1150000}"/>
    <cellStyle name="20% - Accent6 8 2 2 4" xfId="4452" xr:uid="{00000000-0005-0000-0000-0000F2150000}"/>
    <cellStyle name="20% - Accent6 8 2 2 4 2" xfId="6201" xr:uid="{00000000-0005-0000-0000-0000F3150000}"/>
    <cellStyle name="20% - Accent6 8 2 2 4 2 2" xfId="26067" xr:uid="{00000000-0005-0000-0000-0000F4150000}"/>
    <cellStyle name="20% - Accent6 8 2 2 4 3" xfId="26066" xr:uid="{00000000-0005-0000-0000-0000F5150000}"/>
    <cellStyle name="20% - Accent6 8 2 2 5" xfId="6198" xr:uid="{00000000-0005-0000-0000-0000F6150000}"/>
    <cellStyle name="20% - Accent6 8 2 2 5 2" xfId="26068" xr:uid="{00000000-0005-0000-0000-0000F7150000}"/>
    <cellStyle name="20% - Accent6 8 2 2 6" xfId="10032" xr:uid="{00000000-0005-0000-0000-0000F8150000}"/>
    <cellStyle name="20% - Accent6 8 2 2 6 2" xfId="26069" xr:uid="{00000000-0005-0000-0000-0000F9150000}"/>
    <cellStyle name="20% - Accent6 8 2 2 7" xfId="25034" xr:uid="{00000000-0005-0000-0000-0000FA150000}"/>
    <cellStyle name="20% - Accent6 8 2 2 8" xfId="26061" xr:uid="{00000000-0005-0000-0000-0000FB150000}"/>
    <cellStyle name="20% - Accent6 8 2 2 9" xfId="28592" xr:uid="{00000000-0005-0000-0000-0000FC150000}"/>
    <cellStyle name="20% - Accent6 8 2 3" xfId="5373" xr:uid="{00000000-0005-0000-0000-0000FD150000}"/>
    <cellStyle name="20% - Accent6 8 2 3 2" xfId="6202" xr:uid="{00000000-0005-0000-0000-0000FE150000}"/>
    <cellStyle name="20% - Accent6 8 2 3 2 2" xfId="26071" xr:uid="{00000000-0005-0000-0000-0000FF150000}"/>
    <cellStyle name="20% - Accent6 8 2 3 3" xfId="10034" xr:uid="{00000000-0005-0000-0000-000000160000}"/>
    <cellStyle name="20% - Accent6 8 2 3 4" xfId="26070" xr:uid="{00000000-0005-0000-0000-000001160000}"/>
    <cellStyle name="20% - Accent6 8 2 4" xfId="5683" xr:uid="{00000000-0005-0000-0000-000002160000}"/>
    <cellStyle name="20% - Accent6 8 2 4 2" xfId="6203" xr:uid="{00000000-0005-0000-0000-000003160000}"/>
    <cellStyle name="20% - Accent6 8 2 4 2 2" xfId="26073" xr:uid="{00000000-0005-0000-0000-000004160000}"/>
    <cellStyle name="20% - Accent6 8 2 4 3" xfId="10035" xr:uid="{00000000-0005-0000-0000-000005160000}"/>
    <cellStyle name="20% - Accent6 8 2 4 4" xfId="26072" xr:uid="{00000000-0005-0000-0000-000006160000}"/>
    <cellStyle name="20% - Accent6 8 2 5" xfId="4451" xr:uid="{00000000-0005-0000-0000-000007160000}"/>
    <cellStyle name="20% - Accent6 8 2 5 2" xfId="6204" xr:uid="{00000000-0005-0000-0000-000008160000}"/>
    <cellStyle name="20% - Accent6 8 2 5 2 2" xfId="10037" xr:uid="{00000000-0005-0000-0000-000009160000}"/>
    <cellStyle name="20% - Accent6 8 2 5 2 2 2" xfId="26076" xr:uid="{00000000-0005-0000-0000-00000A160000}"/>
    <cellStyle name="20% - Accent6 8 2 5 2 3" xfId="26075" xr:uid="{00000000-0005-0000-0000-00000B160000}"/>
    <cellStyle name="20% - Accent6 8 2 5 2 4" xfId="28594" xr:uid="{00000000-0005-0000-0000-00000C160000}"/>
    <cellStyle name="20% - Accent6 8 2 5 3" xfId="10038" xr:uid="{00000000-0005-0000-0000-00000D160000}"/>
    <cellStyle name="20% - Accent6 8 2 5 3 2" xfId="26077" xr:uid="{00000000-0005-0000-0000-00000E160000}"/>
    <cellStyle name="20% - Accent6 8 2 5 3 3" xfId="28595" xr:uid="{00000000-0005-0000-0000-00000F160000}"/>
    <cellStyle name="20% - Accent6 8 2 5 4" xfId="10036" xr:uid="{00000000-0005-0000-0000-000010160000}"/>
    <cellStyle name="20% - Accent6 8 2 5 4 2" xfId="26078" xr:uid="{00000000-0005-0000-0000-000011160000}"/>
    <cellStyle name="20% - Accent6 8 2 5 5" xfId="26074" xr:uid="{00000000-0005-0000-0000-000012160000}"/>
    <cellStyle name="20% - Accent6 8 2 5 6" xfId="28593" xr:uid="{00000000-0005-0000-0000-000013160000}"/>
    <cellStyle name="20% - Accent6 8 2 6" xfId="6197" xr:uid="{00000000-0005-0000-0000-000014160000}"/>
    <cellStyle name="20% - Accent6 8 2 6 2" xfId="10039" xr:uid="{00000000-0005-0000-0000-000015160000}"/>
    <cellStyle name="20% - Accent6 8 2 6 2 2" xfId="26080" xr:uid="{00000000-0005-0000-0000-000016160000}"/>
    <cellStyle name="20% - Accent6 8 2 6 3" xfId="26079" xr:uid="{00000000-0005-0000-0000-000017160000}"/>
    <cellStyle name="20% - Accent6 8 2 6 4" xfId="28596" xr:uid="{00000000-0005-0000-0000-000018160000}"/>
    <cellStyle name="20% - Accent6 8 2 7" xfId="10040" xr:uid="{00000000-0005-0000-0000-000019160000}"/>
    <cellStyle name="20% - Accent6 8 2 7 2" xfId="26081" xr:uid="{00000000-0005-0000-0000-00001A160000}"/>
    <cellStyle name="20% - Accent6 8 2 7 3" xfId="28597" xr:uid="{00000000-0005-0000-0000-00001B160000}"/>
    <cellStyle name="20% - Accent6 8 2 8" xfId="10031" xr:uid="{00000000-0005-0000-0000-00001C160000}"/>
    <cellStyle name="20% - Accent6 8 2 8 2" xfId="26082" xr:uid="{00000000-0005-0000-0000-00001D160000}"/>
    <cellStyle name="20% - Accent6 8 2 9" xfId="24914" xr:uid="{00000000-0005-0000-0000-00001E160000}"/>
    <cellStyle name="20% - Accent6 8 3" xfId="3836" xr:uid="{00000000-0005-0000-0000-00001F160000}"/>
    <cellStyle name="20% - Accent6 8 3 2" xfId="5375" xr:uid="{00000000-0005-0000-0000-000020160000}"/>
    <cellStyle name="20% - Accent6 8 3 2 2" xfId="6206" xr:uid="{00000000-0005-0000-0000-000021160000}"/>
    <cellStyle name="20% - Accent6 8 3 2 2 2" xfId="26085" xr:uid="{00000000-0005-0000-0000-000022160000}"/>
    <cellStyle name="20% - Accent6 8 3 2 3" xfId="10042" xr:uid="{00000000-0005-0000-0000-000023160000}"/>
    <cellStyle name="20% - Accent6 8 3 2 4" xfId="26084" xr:uid="{00000000-0005-0000-0000-000024160000}"/>
    <cellStyle name="20% - Accent6 8 3 3" xfId="5685" xr:uid="{00000000-0005-0000-0000-000025160000}"/>
    <cellStyle name="20% - Accent6 8 3 3 2" xfId="6207" xr:uid="{00000000-0005-0000-0000-000026160000}"/>
    <cellStyle name="20% - Accent6 8 3 3 2 2" xfId="26087" xr:uid="{00000000-0005-0000-0000-000027160000}"/>
    <cellStyle name="20% - Accent6 8 3 3 3" xfId="26086" xr:uid="{00000000-0005-0000-0000-000028160000}"/>
    <cellStyle name="20% - Accent6 8 3 4" xfId="4453" xr:uid="{00000000-0005-0000-0000-000029160000}"/>
    <cellStyle name="20% - Accent6 8 3 4 2" xfId="6208" xr:uid="{00000000-0005-0000-0000-00002A160000}"/>
    <cellStyle name="20% - Accent6 8 3 4 2 2" xfId="26089" xr:uid="{00000000-0005-0000-0000-00002B160000}"/>
    <cellStyle name="20% - Accent6 8 3 4 3" xfId="26088" xr:uid="{00000000-0005-0000-0000-00002C160000}"/>
    <cellStyle name="20% - Accent6 8 3 5" xfId="6205" xr:uid="{00000000-0005-0000-0000-00002D160000}"/>
    <cellStyle name="20% - Accent6 8 3 5 2" xfId="26090" xr:uid="{00000000-0005-0000-0000-00002E160000}"/>
    <cellStyle name="20% - Accent6 8 3 6" xfId="10041" xr:uid="{00000000-0005-0000-0000-00002F160000}"/>
    <cellStyle name="20% - Accent6 8 3 6 2" xfId="26091" xr:uid="{00000000-0005-0000-0000-000030160000}"/>
    <cellStyle name="20% - Accent6 8 3 7" xfId="24972" xr:uid="{00000000-0005-0000-0000-000031160000}"/>
    <cellStyle name="20% - Accent6 8 3 8" xfId="26083" xr:uid="{00000000-0005-0000-0000-000032160000}"/>
    <cellStyle name="20% - Accent6 8 3 9" xfId="28598" xr:uid="{00000000-0005-0000-0000-000033160000}"/>
    <cellStyle name="20% - Accent6 8 4" xfId="5372" xr:uid="{00000000-0005-0000-0000-000034160000}"/>
    <cellStyle name="20% - Accent6 8 4 2" xfId="6209" xr:uid="{00000000-0005-0000-0000-000035160000}"/>
    <cellStyle name="20% - Accent6 8 4 2 2" xfId="26093" xr:uid="{00000000-0005-0000-0000-000036160000}"/>
    <cellStyle name="20% - Accent6 8 4 3" xfId="10043" xr:uid="{00000000-0005-0000-0000-000037160000}"/>
    <cellStyle name="20% - Accent6 8 4 4" xfId="26092" xr:uid="{00000000-0005-0000-0000-000038160000}"/>
    <cellStyle name="20% - Accent6 8 5" xfId="5682" xr:uid="{00000000-0005-0000-0000-000039160000}"/>
    <cellStyle name="20% - Accent6 8 5 2" xfId="6210" xr:uid="{00000000-0005-0000-0000-00003A160000}"/>
    <cellStyle name="20% - Accent6 8 5 2 2" xfId="26095" xr:uid="{00000000-0005-0000-0000-00003B160000}"/>
    <cellStyle name="20% - Accent6 8 5 3" xfId="10044" xr:uid="{00000000-0005-0000-0000-00003C160000}"/>
    <cellStyle name="20% - Accent6 8 5 4" xfId="26094" xr:uid="{00000000-0005-0000-0000-00003D160000}"/>
    <cellStyle name="20% - Accent6 8 6" xfId="4450" xr:uid="{00000000-0005-0000-0000-00003E160000}"/>
    <cellStyle name="20% - Accent6 8 6 2" xfId="6211" xr:uid="{00000000-0005-0000-0000-00003F160000}"/>
    <cellStyle name="20% - Accent6 8 6 2 2" xfId="10046" xr:uid="{00000000-0005-0000-0000-000040160000}"/>
    <cellStyle name="20% - Accent6 8 6 2 2 2" xfId="26098" xr:uid="{00000000-0005-0000-0000-000041160000}"/>
    <cellStyle name="20% - Accent6 8 6 2 3" xfId="26097" xr:uid="{00000000-0005-0000-0000-000042160000}"/>
    <cellStyle name="20% - Accent6 8 6 2 4" xfId="28600" xr:uid="{00000000-0005-0000-0000-000043160000}"/>
    <cellStyle name="20% - Accent6 8 6 3" xfId="10047" xr:uid="{00000000-0005-0000-0000-000044160000}"/>
    <cellStyle name="20% - Accent6 8 6 3 2" xfId="26099" xr:uid="{00000000-0005-0000-0000-000045160000}"/>
    <cellStyle name="20% - Accent6 8 6 3 3" xfId="28601" xr:uid="{00000000-0005-0000-0000-000046160000}"/>
    <cellStyle name="20% - Accent6 8 6 4" xfId="10045" xr:uid="{00000000-0005-0000-0000-000047160000}"/>
    <cellStyle name="20% - Accent6 8 6 4 2" xfId="26100" xr:uid="{00000000-0005-0000-0000-000048160000}"/>
    <cellStyle name="20% - Accent6 8 6 5" xfId="26096" xr:uid="{00000000-0005-0000-0000-000049160000}"/>
    <cellStyle name="20% - Accent6 8 6 6" xfId="28599" xr:uid="{00000000-0005-0000-0000-00004A160000}"/>
    <cellStyle name="20% - Accent6 8 7" xfId="6196" xr:uid="{00000000-0005-0000-0000-00004B160000}"/>
    <cellStyle name="20% - Accent6 8 7 2" xfId="10048" xr:uid="{00000000-0005-0000-0000-00004C160000}"/>
    <cellStyle name="20% - Accent6 8 7 2 2" xfId="26102" xr:uid="{00000000-0005-0000-0000-00004D160000}"/>
    <cellStyle name="20% - Accent6 8 7 3" xfId="26101" xr:uid="{00000000-0005-0000-0000-00004E160000}"/>
    <cellStyle name="20% - Accent6 8 7 4" xfId="28602" xr:uid="{00000000-0005-0000-0000-00004F160000}"/>
    <cellStyle name="20% - Accent6 8 8" xfId="10049" xr:uid="{00000000-0005-0000-0000-000050160000}"/>
    <cellStyle name="20% - Accent6 8 8 2" xfId="26103" xr:uid="{00000000-0005-0000-0000-000051160000}"/>
    <cellStyle name="20% - Accent6 8 8 3" xfId="28603" xr:uid="{00000000-0005-0000-0000-000052160000}"/>
    <cellStyle name="20% - Accent6 8 9" xfId="10030" xr:uid="{00000000-0005-0000-0000-000053160000}"/>
    <cellStyle name="20% - Accent6 8 9 2" xfId="26104" xr:uid="{00000000-0005-0000-0000-000054160000}"/>
    <cellStyle name="20% - Accent6 9" xfId="536" xr:uid="{00000000-0005-0000-0000-000055160000}"/>
    <cellStyle name="20% - Accent6 9 2" xfId="4454" xr:uid="{00000000-0005-0000-0000-000056160000}"/>
    <cellStyle name="20% - Accent6 9 2 2" xfId="10051" xr:uid="{00000000-0005-0000-0000-000057160000}"/>
    <cellStyle name="20% - Accent6 9 2 3" xfId="10052" xr:uid="{00000000-0005-0000-0000-000058160000}"/>
    <cellStyle name="20% - Accent6 9 2 4" xfId="10050" xr:uid="{00000000-0005-0000-0000-000059160000}"/>
    <cellStyle name="20% - Accent6 9 3" xfId="10053" xr:uid="{00000000-0005-0000-0000-00005A160000}"/>
    <cellStyle name="20% - Accent6 9 4" xfId="10054" xr:uid="{00000000-0005-0000-0000-00005B160000}"/>
    <cellStyle name="20% - Accent6 9 5" xfId="10055" xr:uid="{00000000-0005-0000-0000-00005C160000}"/>
    <cellStyle name="20% - Accent6 9 6" xfId="10056" xr:uid="{00000000-0005-0000-0000-00005D160000}"/>
    <cellStyle name="40% - Accent1" xfId="7106" builtinId="31" customBuiltin="1"/>
    <cellStyle name="40% - Accent1 10" xfId="664" xr:uid="{00000000-0005-0000-0000-00005F160000}"/>
    <cellStyle name="40% - Accent1 10 2" xfId="4455" xr:uid="{00000000-0005-0000-0000-000060160000}"/>
    <cellStyle name="40% - Accent1 10 2 2" xfId="10057" xr:uid="{00000000-0005-0000-0000-000061160000}"/>
    <cellStyle name="40% - Accent1 10 3" xfId="10058" xr:uid="{00000000-0005-0000-0000-000062160000}"/>
    <cellStyle name="40% - Accent1 10 4" xfId="10059" xr:uid="{00000000-0005-0000-0000-000063160000}"/>
    <cellStyle name="40% - Accent1 10 5" xfId="10060" xr:uid="{00000000-0005-0000-0000-000064160000}"/>
    <cellStyle name="40% - Accent1 11" xfId="665" xr:uid="{00000000-0005-0000-0000-000065160000}"/>
    <cellStyle name="40% - Accent1 11 2" xfId="4456" xr:uid="{00000000-0005-0000-0000-000066160000}"/>
    <cellStyle name="40% - Accent1 11 2 2" xfId="10061" xr:uid="{00000000-0005-0000-0000-000067160000}"/>
    <cellStyle name="40% - Accent1 11 3" xfId="10062" xr:uid="{00000000-0005-0000-0000-000068160000}"/>
    <cellStyle name="40% - Accent1 11 4" xfId="10063" xr:uid="{00000000-0005-0000-0000-000069160000}"/>
    <cellStyle name="40% - Accent1 11 5" xfId="10064" xr:uid="{00000000-0005-0000-0000-00006A160000}"/>
    <cellStyle name="40% - Accent1 12" xfId="816" xr:uid="{00000000-0005-0000-0000-00006B160000}"/>
    <cellStyle name="40% - Accent1 12 2" xfId="10066" xr:uid="{00000000-0005-0000-0000-00006C160000}"/>
    <cellStyle name="40% - Accent1 12 3" xfId="10067" xr:uid="{00000000-0005-0000-0000-00006D160000}"/>
    <cellStyle name="40% - Accent1 12 4" xfId="10065" xr:uid="{00000000-0005-0000-0000-00006E160000}"/>
    <cellStyle name="40% - Accent1 13" xfId="817" xr:uid="{00000000-0005-0000-0000-00006F160000}"/>
    <cellStyle name="40% - Accent1 13 2" xfId="3851" xr:uid="{00000000-0005-0000-0000-000070160000}"/>
    <cellStyle name="40% - Accent1 13 2 2" xfId="6213" xr:uid="{00000000-0005-0000-0000-000071160000}"/>
    <cellStyle name="40% - Accent1 13 2 2 2" xfId="26107" xr:uid="{00000000-0005-0000-0000-000072160000}"/>
    <cellStyle name="40% - Accent1 13 2 3" xfId="10069" xr:uid="{00000000-0005-0000-0000-000073160000}"/>
    <cellStyle name="40% - Accent1 13 2 4" xfId="24987" xr:uid="{00000000-0005-0000-0000-000074160000}"/>
    <cellStyle name="40% - Accent1 13 2 5" xfId="26106" xr:uid="{00000000-0005-0000-0000-000075160000}"/>
    <cellStyle name="40% - Accent1 13 3" xfId="6212" xr:uid="{00000000-0005-0000-0000-000076160000}"/>
    <cellStyle name="40% - Accent1 13 3 2" xfId="10070" xr:uid="{00000000-0005-0000-0000-000077160000}"/>
    <cellStyle name="40% - Accent1 13 3 3" xfId="26108" xr:uid="{00000000-0005-0000-0000-000078160000}"/>
    <cellStyle name="40% - Accent1 13 4" xfId="10068" xr:uid="{00000000-0005-0000-0000-000079160000}"/>
    <cellStyle name="40% - Accent1 13 5" xfId="24866" xr:uid="{00000000-0005-0000-0000-00007A160000}"/>
    <cellStyle name="40% - Accent1 13 6" xfId="26105" xr:uid="{00000000-0005-0000-0000-00007B160000}"/>
    <cellStyle name="40% - Accent1 14" xfId="933" xr:uid="{00000000-0005-0000-0000-00007C160000}"/>
    <cellStyle name="40% - Accent1 14 2" xfId="10072" xr:uid="{00000000-0005-0000-0000-00007D160000}"/>
    <cellStyle name="40% - Accent1 14 3" xfId="10073" xr:uid="{00000000-0005-0000-0000-00007E160000}"/>
    <cellStyle name="40% - Accent1 14 4" xfId="10071" xr:uid="{00000000-0005-0000-0000-00007F160000}"/>
    <cellStyle name="40% - Accent1 15" xfId="10074" xr:uid="{00000000-0005-0000-0000-000080160000}"/>
    <cellStyle name="40% - Accent1 15 2" xfId="10075" xr:uid="{00000000-0005-0000-0000-000081160000}"/>
    <cellStyle name="40% - Accent1 15 3" xfId="10076" xr:uid="{00000000-0005-0000-0000-000082160000}"/>
    <cellStyle name="40% - Accent1 16" xfId="10077" xr:uid="{00000000-0005-0000-0000-000083160000}"/>
    <cellStyle name="40% - Accent1 16 2" xfId="10078" xr:uid="{00000000-0005-0000-0000-000084160000}"/>
    <cellStyle name="40% - Accent1 16 3" xfId="10079" xr:uid="{00000000-0005-0000-0000-000085160000}"/>
    <cellStyle name="40% - Accent1 17" xfId="10080" xr:uid="{00000000-0005-0000-0000-000086160000}"/>
    <cellStyle name="40% - Accent1 17 2" xfId="10081" xr:uid="{00000000-0005-0000-0000-000087160000}"/>
    <cellStyle name="40% - Accent1 17 3" xfId="10082" xr:uid="{00000000-0005-0000-0000-000088160000}"/>
    <cellStyle name="40% - Accent1 18" xfId="10083" xr:uid="{00000000-0005-0000-0000-000089160000}"/>
    <cellStyle name="40% - Accent1 18 2" xfId="10084" xr:uid="{00000000-0005-0000-0000-00008A160000}"/>
    <cellStyle name="40% - Accent1 18 3" xfId="10085" xr:uid="{00000000-0005-0000-0000-00008B160000}"/>
    <cellStyle name="40% - Accent1 19" xfId="10086" xr:uid="{00000000-0005-0000-0000-00008C160000}"/>
    <cellStyle name="40% - Accent1 19 2" xfId="10087" xr:uid="{00000000-0005-0000-0000-00008D160000}"/>
    <cellStyle name="40% - Accent1 2" xfId="74" xr:uid="{00000000-0005-0000-0000-00008E160000}"/>
    <cellStyle name="40% - Accent1 2 10" xfId="1673" xr:uid="{00000000-0005-0000-0000-00008F160000}"/>
    <cellStyle name="40% - Accent1 2 10 2" xfId="4457" xr:uid="{00000000-0005-0000-0000-000090160000}"/>
    <cellStyle name="40% - Accent1 2 10 2 2" xfId="10088" xr:uid="{00000000-0005-0000-0000-000091160000}"/>
    <cellStyle name="40% - Accent1 2 10 3" xfId="10089" xr:uid="{00000000-0005-0000-0000-000092160000}"/>
    <cellStyle name="40% - Accent1 2 10 4" xfId="10090" xr:uid="{00000000-0005-0000-0000-000093160000}"/>
    <cellStyle name="40% - Accent1 2 10 5" xfId="10091" xr:uid="{00000000-0005-0000-0000-000094160000}"/>
    <cellStyle name="40% - Accent1 2 11" xfId="1793" xr:uid="{00000000-0005-0000-0000-000095160000}"/>
    <cellStyle name="40% - Accent1 2 11 2" xfId="4458" xr:uid="{00000000-0005-0000-0000-000096160000}"/>
    <cellStyle name="40% - Accent1 2 11 2 2" xfId="10092" xr:uid="{00000000-0005-0000-0000-000097160000}"/>
    <cellStyle name="40% - Accent1 2 11 3" xfId="10093" xr:uid="{00000000-0005-0000-0000-000098160000}"/>
    <cellStyle name="40% - Accent1 2 11 4" xfId="10094" xr:uid="{00000000-0005-0000-0000-000099160000}"/>
    <cellStyle name="40% - Accent1 2 11 5" xfId="10095" xr:uid="{00000000-0005-0000-0000-00009A160000}"/>
    <cellStyle name="40% - Accent1 2 12" xfId="2221" xr:uid="{00000000-0005-0000-0000-00009B160000}"/>
    <cellStyle name="40% - Accent1 2 12 2" xfId="4459" xr:uid="{00000000-0005-0000-0000-00009C160000}"/>
    <cellStyle name="40% - Accent1 2 12 2 2" xfId="10096" xr:uid="{00000000-0005-0000-0000-00009D160000}"/>
    <cellStyle name="40% - Accent1 2 12 3" xfId="10097" xr:uid="{00000000-0005-0000-0000-00009E160000}"/>
    <cellStyle name="40% - Accent1 2 12 4" xfId="10098" xr:uid="{00000000-0005-0000-0000-00009F160000}"/>
    <cellStyle name="40% - Accent1 2 12 5" xfId="10099" xr:uid="{00000000-0005-0000-0000-0000A0160000}"/>
    <cellStyle name="40% - Accent1 2 13" xfId="2595" xr:uid="{00000000-0005-0000-0000-0000A1160000}"/>
    <cellStyle name="40% - Accent1 2 13 2" xfId="4460" xr:uid="{00000000-0005-0000-0000-0000A2160000}"/>
    <cellStyle name="40% - Accent1 2 13 2 2" xfId="10100" xr:uid="{00000000-0005-0000-0000-0000A3160000}"/>
    <cellStyle name="40% - Accent1 2 13 3" xfId="10101" xr:uid="{00000000-0005-0000-0000-0000A4160000}"/>
    <cellStyle name="40% - Accent1 2 13 4" xfId="10102" xr:uid="{00000000-0005-0000-0000-0000A5160000}"/>
    <cellStyle name="40% - Accent1 2 13 5" xfId="10103" xr:uid="{00000000-0005-0000-0000-0000A6160000}"/>
    <cellStyle name="40% - Accent1 2 14" xfId="2875" xr:uid="{00000000-0005-0000-0000-0000A7160000}"/>
    <cellStyle name="40% - Accent1 2 14 2" xfId="4461" xr:uid="{00000000-0005-0000-0000-0000A8160000}"/>
    <cellStyle name="40% - Accent1 2 14 2 2" xfId="10104" xr:uid="{00000000-0005-0000-0000-0000A9160000}"/>
    <cellStyle name="40% - Accent1 2 14 3" xfId="10105" xr:uid="{00000000-0005-0000-0000-0000AA160000}"/>
    <cellStyle name="40% - Accent1 2 14 4" xfId="10106" xr:uid="{00000000-0005-0000-0000-0000AB160000}"/>
    <cellStyle name="40% - Accent1 2 14 5" xfId="10107" xr:uid="{00000000-0005-0000-0000-0000AC160000}"/>
    <cellStyle name="40% - Accent1 2 15" xfId="3246" xr:uid="{00000000-0005-0000-0000-0000AD160000}"/>
    <cellStyle name="40% - Accent1 2 15 2" xfId="4462" xr:uid="{00000000-0005-0000-0000-0000AE160000}"/>
    <cellStyle name="40% - Accent1 2 15 2 2" xfId="10108" xr:uid="{00000000-0005-0000-0000-0000AF160000}"/>
    <cellStyle name="40% - Accent1 2 15 3" xfId="10109" xr:uid="{00000000-0005-0000-0000-0000B0160000}"/>
    <cellStyle name="40% - Accent1 2 16" xfId="3638" xr:uid="{00000000-0005-0000-0000-0000B1160000}"/>
    <cellStyle name="40% - Accent1 2 16 2" xfId="4463" xr:uid="{00000000-0005-0000-0000-0000B2160000}"/>
    <cellStyle name="40% - Accent1 2 16 2 2" xfId="10110" xr:uid="{00000000-0005-0000-0000-0000B3160000}"/>
    <cellStyle name="40% - Accent1 2 16 3" xfId="10111" xr:uid="{00000000-0005-0000-0000-0000B4160000}"/>
    <cellStyle name="40% - Accent1 2 17" xfId="24473" xr:uid="{00000000-0005-0000-0000-0000B5160000}"/>
    <cellStyle name="40% - Accent1 2 2" xfId="118" xr:uid="{00000000-0005-0000-0000-0000B6160000}"/>
    <cellStyle name="40% - Accent1 2 2 10" xfId="10112" xr:uid="{00000000-0005-0000-0000-0000B7160000}"/>
    <cellStyle name="40% - Accent1 2 2 10 2" xfId="10113" xr:uid="{00000000-0005-0000-0000-0000B8160000}"/>
    <cellStyle name="40% - Accent1 2 2 10 3" xfId="10114" xr:uid="{00000000-0005-0000-0000-0000B9160000}"/>
    <cellStyle name="40% - Accent1 2 2 11" xfId="10115" xr:uid="{00000000-0005-0000-0000-0000BA160000}"/>
    <cellStyle name="40% - Accent1 2 2 11 2" xfId="10116" xr:uid="{00000000-0005-0000-0000-0000BB160000}"/>
    <cellStyle name="40% - Accent1 2 2 11 3" xfId="10117" xr:uid="{00000000-0005-0000-0000-0000BC160000}"/>
    <cellStyle name="40% - Accent1 2 2 12" xfId="10118" xr:uid="{00000000-0005-0000-0000-0000BD160000}"/>
    <cellStyle name="40% - Accent1 2 2 12 2" xfId="10119" xr:uid="{00000000-0005-0000-0000-0000BE160000}"/>
    <cellStyle name="40% - Accent1 2 2 12 3" xfId="10120" xr:uid="{00000000-0005-0000-0000-0000BF160000}"/>
    <cellStyle name="40% - Accent1 2 2 13" xfId="10121" xr:uid="{00000000-0005-0000-0000-0000C0160000}"/>
    <cellStyle name="40% - Accent1 2 2 14" xfId="10122" xr:uid="{00000000-0005-0000-0000-0000C1160000}"/>
    <cellStyle name="40% - Accent1 2 2 15" xfId="10123" xr:uid="{00000000-0005-0000-0000-0000C2160000}"/>
    <cellStyle name="40% - Accent1 2 2 2" xfId="172" xr:uid="{00000000-0005-0000-0000-0000C3160000}"/>
    <cellStyle name="40% - Accent1 2 2 2 2" xfId="10124" xr:uid="{00000000-0005-0000-0000-0000C4160000}"/>
    <cellStyle name="40% - Accent1 2 2 2 3" xfId="10125" xr:uid="{00000000-0005-0000-0000-0000C5160000}"/>
    <cellStyle name="40% - Accent1 2 2 3" xfId="336" xr:uid="{00000000-0005-0000-0000-0000C6160000}"/>
    <cellStyle name="40% - Accent1 2 2 3 2" xfId="10126" xr:uid="{00000000-0005-0000-0000-0000C7160000}"/>
    <cellStyle name="40% - Accent1 2 2 3 3" xfId="10127" xr:uid="{00000000-0005-0000-0000-0000C8160000}"/>
    <cellStyle name="40% - Accent1 2 2 4" xfId="2158" xr:uid="{00000000-0005-0000-0000-0000C9160000}"/>
    <cellStyle name="40% - Accent1 2 2 4 2" xfId="10128" xr:uid="{00000000-0005-0000-0000-0000CA160000}"/>
    <cellStyle name="40% - Accent1 2 2 4 3" xfId="10129" xr:uid="{00000000-0005-0000-0000-0000CB160000}"/>
    <cellStyle name="40% - Accent1 2 2 5" xfId="2532" xr:uid="{00000000-0005-0000-0000-0000CC160000}"/>
    <cellStyle name="40% - Accent1 2 2 5 2" xfId="10130" xr:uid="{00000000-0005-0000-0000-0000CD160000}"/>
    <cellStyle name="40% - Accent1 2 2 5 3" xfId="10131" xr:uid="{00000000-0005-0000-0000-0000CE160000}"/>
    <cellStyle name="40% - Accent1 2 2 6" xfId="2904" xr:uid="{00000000-0005-0000-0000-0000CF160000}"/>
    <cellStyle name="40% - Accent1 2 2 6 2" xfId="10132" xr:uid="{00000000-0005-0000-0000-0000D0160000}"/>
    <cellStyle name="40% - Accent1 2 2 6 3" xfId="10133" xr:uid="{00000000-0005-0000-0000-0000D1160000}"/>
    <cellStyle name="40% - Accent1 2 2 7" xfId="3276" xr:uid="{00000000-0005-0000-0000-0000D2160000}"/>
    <cellStyle name="40% - Accent1 2 2 7 2" xfId="10134" xr:uid="{00000000-0005-0000-0000-0000D3160000}"/>
    <cellStyle name="40% - Accent1 2 2 7 3" xfId="10135" xr:uid="{00000000-0005-0000-0000-0000D4160000}"/>
    <cellStyle name="40% - Accent1 2 2 8" xfId="4464" xr:uid="{00000000-0005-0000-0000-0000D5160000}"/>
    <cellStyle name="40% - Accent1 2 2 8 2" xfId="10137" xr:uid="{00000000-0005-0000-0000-0000D6160000}"/>
    <cellStyle name="40% - Accent1 2 2 8 3" xfId="10138" xr:uid="{00000000-0005-0000-0000-0000D7160000}"/>
    <cellStyle name="40% - Accent1 2 2 8 4" xfId="10136" xr:uid="{00000000-0005-0000-0000-0000D8160000}"/>
    <cellStyle name="40% - Accent1 2 2 9" xfId="10139" xr:uid="{00000000-0005-0000-0000-0000D9160000}"/>
    <cellStyle name="40% - Accent1 2 2 9 2" xfId="10140" xr:uid="{00000000-0005-0000-0000-0000DA160000}"/>
    <cellStyle name="40% - Accent1 2 2 9 3" xfId="10141" xr:uid="{00000000-0005-0000-0000-0000DB160000}"/>
    <cellStyle name="40% - Accent1 2 3" xfId="283" xr:uid="{00000000-0005-0000-0000-0000DC160000}"/>
    <cellStyle name="40% - Accent1 2 3 2" xfId="1334" xr:uid="{00000000-0005-0000-0000-0000DD160000}"/>
    <cellStyle name="40% - Accent1 2 3 2 2" xfId="10142" xr:uid="{00000000-0005-0000-0000-0000DE160000}"/>
    <cellStyle name="40% - Accent1 2 3 2 3" xfId="10143" xr:uid="{00000000-0005-0000-0000-0000DF160000}"/>
    <cellStyle name="40% - Accent1 2 3 3" xfId="10144" xr:uid="{00000000-0005-0000-0000-0000E0160000}"/>
    <cellStyle name="40% - Accent1 2 3 4" xfId="10145" xr:uid="{00000000-0005-0000-0000-0000E1160000}"/>
    <cellStyle name="40% - Accent1 2 4" xfId="382" xr:uid="{00000000-0005-0000-0000-0000E2160000}"/>
    <cellStyle name="40% - Accent1 2 4 2" xfId="10146" xr:uid="{00000000-0005-0000-0000-0000E3160000}"/>
    <cellStyle name="40% - Accent1 2 4 2 2" xfId="10147" xr:uid="{00000000-0005-0000-0000-0000E4160000}"/>
    <cellStyle name="40% - Accent1 2 4 2 3" xfId="10148" xr:uid="{00000000-0005-0000-0000-0000E5160000}"/>
    <cellStyle name="40% - Accent1 2 4 3" xfId="10149" xr:uid="{00000000-0005-0000-0000-0000E6160000}"/>
    <cellStyle name="40% - Accent1 2 4 4" xfId="10150" xr:uid="{00000000-0005-0000-0000-0000E7160000}"/>
    <cellStyle name="40% - Accent1 2 5" xfId="537" xr:uid="{00000000-0005-0000-0000-0000E8160000}"/>
    <cellStyle name="40% - Accent1 2 5 2" xfId="10151" xr:uid="{00000000-0005-0000-0000-0000E9160000}"/>
    <cellStyle name="40% - Accent1 2 5 3" xfId="10152" xr:uid="{00000000-0005-0000-0000-0000EA160000}"/>
    <cellStyle name="40% - Accent1 2 6" xfId="666" xr:uid="{00000000-0005-0000-0000-0000EB160000}"/>
    <cellStyle name="40% - Accent1 2 6 2" xfId="10153" xr:uid="{00000000-0005-0000-0000-0000EC160000}"/>
    <cellStyle name="40% - Accent1 2 6 3" xfId="10154" xr:uid="{00000000-0005-0000-0000-0000ED160000}"/>
    <cellStyle name="40% - Accent1 2 7" xfId="667" xr:uid="{00000000-0005-0000-0000-0000EE160000}"/>
    <cellStyle name="40% - Accent1 2 7 2" xfId="10155" xr:uid="{00000000-0005-0000-0000-0000EF160000}"/>
    <cellStyle name="40% - Accent1 2 7 3" xfId="10156" xr:uid="{00000000-0005-0000-0000-0000F0160000}"/>
    <cellStyle name="40% - Accent1 2 8" xfId="818" xr:uid="{00000000-0005-0000-0000-0000F1160000}"/>
    <cellStyle name="40% - Accent1 2 8 2" xfId="1402" xr:uid="{00000000-0005-0000-0000-0000F2160000}"/>
    <cellStyle name="40% - Accent1 2 8 2 2" xfId="10157" xr:uid="{00000000-0005-0000-0000-0000F3160000}"/>
    <cellStyle name="40% - Accent1 2 8 3" xfId="10158" xr:uid="{00000000-0005-0000-0000-0000F4160000}"/>
    <cellStyle name="40% - Accent1 2 8 4" xfId="10159" xr:uid="{00000000-0005-0000-0000-0000F5160000}"/>
    <cellStyle name="40% - Accent1 2 8 5" xfId="10160" xr:uid="{00000000-0005-0000-0000-0000F6160000}"/>
    <cellStyle name="40% - Accent1 2 9" xfId="934" xr:uid="{00000000-0005-0000-0000-0000F7160000}"/>
    <cellStyle name="40% - Accent1 2 9 2" xfId="1395" xr:uid="{00000000-0005-0000-0000-0000F8160000}"/>
    <cellStyle name="40% - Accent1 2 9 2 2" xfId="10161" xr:uid="{00000000-0005-0000-0000-0000F9160000}"/>
    <cellStyle name="40% - Accent1 2 9 3" xfId="10162" xr:uid="{00000000-0005-0000-0000-0000FA160000}"/>
    <cellStyle name="40% - Accent1 2 9 4" xfId="10163" xr:uid="{00000000-0005-0000-0000-0000FB160000}"/>
    <cellStyle name="40% - Accent1 2 9 5" xfId="10164" xr:uid="{00000000-0005-0000-0000-0000FC160000}"/>
    <cellStyle name="40% - Accent1 20" xfId="10165" xr:uid="{00000000-0005-0000-0000-0000FD160000}"/>
    <cellStyle name="40% - Accent1 21" xfId="10166" xr:uid="{00000000-0005-0000-0000-0000FE160000}"/>
    <cellStyle name="40% - Accent1 21 2" xfId="10167" xr:uid="{00000000-0005-0000-0000-0000FF160000}"/>
    <cellStyle name="40% - Accent1 21 2 2" xfId="10168" xr:uid="{00000000-0005-0000-0000-000000170000}"/>
    <cellStyle name="40% - Accent1 21 2 2 2" xfId="26111" xr:uid="{00000000-0005-0000-0000-000001170000}"/>
    <cellStyle name="40% - Accent1 21 2 2 3" xfId="28606" xr:uid="{00000000-0005-0000-0000-000002170000}"/>
    <cellStyle name="40% - Accent1 21 2 3" xfId="10169" xr:uid="{00000000-0005-0000-0000-000003170000}"/>
    <cellStyle name="40% - Accent1 21 2 3 2" xfId="26112" xr:uid="{00000000-0005-0000-0000-000004170000}"/>
    <cellStyle name="40% - Accent1 21 2 3 3" xfId="28607" xr:uid="{00000000-0005-0000-0000-000005170000}"/>
    <cellStyle name="40% - Accent1 21 2 4" xfId="26110" xr:uid="{00000000-0005-0000-0000-000006170000}"/>
    <cellStyle name="40% - Accent1 21 2 5" xfId="28605" xr:uid="{00000000-0005-0000-0000-000007170000}"/>
    <cellStyle name="40% - Accent1 21 3" xfId="10170" xr:uid="{00000000-0005-0000-0000-000008170000}"/>
    <cellStyle name="40% - Accent1 21 3 2" xfId="26113" xr:uid="{00000000-0005-0000-0000-000009170000}"/>
    <cellStyle name="40% - Accent1 21 3 3" xfId="28608" xr:uid="{00000000-0005-0000-0000-00000A170000}"/>
    <cellStyle name="40% - Accent1 21 4" xfId="10171" xr:uid="{00000000-0005-0000-0000-00000B170000}"/>
    <cellStyle name="40% - Accent1 21 4 2" xfId="26114" xr:uid="{00000000-0005-0000-0000-00000C170000}"/>
    <cellStyle name="40% - Accent1 21 4 3" xfId="28609" xr:uid="{00000000-0005-0000-0000-00000D170000}"/>
    <cellStyle name="40% - Accent1 21 5" xfId="26109" xr:uid="{00000000-0005-0000-0000-00000E170000}"/>
    <cellStyle name="40% - Accent1 21 6" xfId="28604" xr:uid="{00000000-0005-0000-0000-00000F170000}"/>
    <cellStyle name="40% - Accent1 22" xfId="10172" xr:uid="{00000000-0005-0000-0000-000010170000}"/>
    <cellStyle name="40% - Accent1 22 2" xfId="10173" xr:uid="{00000000-0005-0000-0000-000011170000}"/>
    <cellStyle name="40% - Accent1 22 2 2" xfId="10174" xr:uid="{00000000-0005-0000-0000-000012170000}"/>
    <cellStyle name="40% - Accent1 22 2 2 2" xfId="26117" xr:uid="{00000000-0005-0000-0000-000013170000}"/>
    <cellStyle name="40% - Accent1 22 2 2 3" xfId="28612" xr:uid="{00000000-0005-0000-0000-000014170000}"/>
    <cellStyle name="40% - Accent1 22 2 3" xfId="10175" xr:uid="{00000000-0005-0000-0000-000015170000}"/>
    <cellStyle name="40% - Accent1 22 2 3 2" xfId="26118" xr:uid="{00000000-0005-0000-0000-000016170000}"/>
    <cellStyle name="40% - Accent1 22 2 3 3" xfId="28613" xr:uid="{00000000-0005-0000-0000-000017170000}"/>
    <cellStyle name="40% - Accent1 22 2 4" xfId="26116" xr:uid="{00000000-0005-0000-0000-000018170000}"/>
    <cellStyle name="40% - Accent1 22 2 5" xfId="28611" xr:uid="{00000000-0005-0000-0000-000019170000}"/>
    <cellStyle name="40% - Accent1 22 3" xfId="10176" xr:uid="{00000000-0005-0000-0000-00001A170000}"/>
    <cellStyle name="40% - Accent1 22 3 2" xfId="26119" xr:uid="{00000000-0005-0000-0000-00001B170000}"/>
    <cellStyle name="40% - Accent1 22 3 3" xfId="28614" xr:uid="{00000000-0005-0000-0000-00001C170000}"/>
    <cellStyle name="40% - Accent1 22 4" xfId="10177" xr:uid="{00000000-0005-0000-0000-00001D170000}"/>
    <cellStyle name="40% - Accent1 22 4 2" xfId="26120" xr:uid="{00000000-0005-0000-0000-00001E170000}"/>
    <cellStyle name="40% - Accent1 22 4 3" xfId="28615" xr:uid="{00000000-0005-0000-0000-00001F170000}"/>
    <cellStyle name="40% - Accent1 22 5" xfId="26115" xr:uid="{00000000-0005-0000-0000-000020170000}"/>
    <cellStyle name="40% - Accent1 22 6" xfId="28610" xr:uid="{00000000-0005-0000-0000-000021170000}"/>
    <cellStyle name="40% - Accent1 23" xfId="10178" xr:uid="{00000000-0005-0000-0000-000022170000}"/>
    <cellStyle name="40% - Accent1 24" xfId="10179" xr:uid="{00000000-0005-0000-0000-000023170000}"/>
    <cellStyle name="40% - Accent1 24 2" xfId="10180" xr:uid="{00000000-0005-0000-0000-000024170000}"/>
    <cellStyle name="40% - Accent1 24 2 2" xfId="10181" xr:uid="{00000000-0005-0000-0000-000025170000}"/>
    <cellStyle name="40% - Accent1 24 2 2 2" xfId="26123" xr:uid="{00000000-0005-0000-0000-000026170000}"/>
    <cellStyle name="40% - Accent1 24 2 2 3" xfId="28618" xr:uid="{00000000-0005-0000-0000-000027170000}"/>
    <cellStyle name="40% - Accent1 24 2 3" xfId="10182" xr:uid="{00000000-0005-0000-0000-000028170000}"/>
    <cellStyle name="40% - Accent1 24 2 3 2" xfId="26124" xr:uid="{00000000-0005-0000-0000-000029170000}"/>
    <cellStyle name="40% - Accent1 24 2 3 3" xfId="28619" xr:uid="{00000000-0005-0000-0000-00002A170000}"/>
    <cellStyle name="40% - Accent1 24 2 4" xfId="26122" xr:uid="{00000000-0005-0000-0000-00002B170000}"/>
    <cellStyle name="40% - Accent1 24 2 5" xfId="28617" xr:uid="{00000000-0005-0000-0000-00002C170000}"/>
    <cellStyle name="40% - Accent1 24 3" xfId="10183" xr:uid="{00000000-0005-0000-0000-00002D170000}"/>
    <cellStyle name="40% - Accent1 24 3 2" xfId="26125" xr:uid="{00000000-0005-0000-0000-00002E170000}"/>
    <cellStyle name="40% - Accent1 24 3 3" xfId="28620" xr:uid="{00000000-0005-0000-0000-00002F170000}"/>
    <cellStyle name="40% - Accent1 24 4" xfId="10184" xr:uid="{00000000-0005-0000-0000-000030170000}"/>
    <cellStyle name="40% - Accent1 24 4 2" xfId="26126" xr:uid="{00000000-0005-0000-0000-000031170000}"/>
    <cellStyle name="40% - Accent1 24 4 3" xfId="28621" xr:uid="{00000000-0005-0000-0000-000032170000}"/>
    <cellStyle name="40% - Accent1 24 5" xfId="26121" xr:uid="{00000000-0005-0000-0000-000033170000}"/>
    <cellStyle name="40% - Accent1 24 6" xfId="28616" xr:uid="{00000000-0005-0000-0000-000034170000}"/>
    <cellStyle name="40% - Accent1 25" xfId="10185" xr:uid="{00000000-0005-0000-0000-000035170000}"/>
    <cellStyle name="40% - Accent1 25 2" xfId="10186" xr:uid="{00000000-0005-0000-0000-000036170000}"/>
    <cellStyle name="40% - Accent1 25 2 2" xfId="10187" xr:uid="{00000000-0005-0000-0000-000037170000}"/>
    <cellStyle name="40% - Accent1 25 2 2 2" xfId="26129" xr:uid="{00000000-0005-0000-0000-000038170000}"/>
    <cellStyle name="40% - Accent1 25 2 2 3" xfId="28624" xr:uid="{00000000-0005-0000-0000-000039170000}"/>
    <cellStyle name="40% - Accent1 25 2 3" xfId="10188" xr:uid="{00000000-0005-0000-0000-00003A170000}"/>
    <cellStyle name="40% - Accent1 25 2 3 2" xfId="26130" xr:uid="{00000000-0005-0000-0000-00003B170000}"/>
    <cellStyle name="40% - Accent1 25 2 3 3" xfId="28625" xr:uid="{00000000-0005-0000-0000-00003C170000}"/>
    <cellStyle name="40% - Accent1 25 2 4" xfId="26128" xr:uid="{00000000-0005-0000-0000-00003D170000}"/>
    <cellStyle name="40% - Accent1 25 2 5" xfId="28623" xr:uid="{00000000-0005-0000-0000-00003E170000}"/>
    <cellStyle name="40% - Accent1 25 3" xfId="10189" xr:uid="{00000000-0005-0000-0000-00003F170000}"/>
    <cellStyle name="40% - Accent1 25 3 2" xfId="26131" xr:uid="{00000000-0005-0000-0000-000040170000}"/>
    <cellStyle name="40% - Accent1 25 3 3" xfId="28626" xr:uid="{00000000-0005-0000-0000-000041170000}"/>
    <cellStyle name="40% - Accent1 25 4" xfId="10190" xr:uid="{00000000-0005-0000-0000-000042170000}"/>
    <cellStyle name="40% - Accent1 25 4 2" xfId="26132" xr:uid="{00000000-0005-0000-0000-000043170000}"/>
    <cellStyle name="40% - Accent1 25 4 3" xfId="28627" xr:uid="{00000000-0005-0000-0000-000044170000}"/>
    <cellStyle name="40% - Accent1 25 5" xfId="26127" xr:uid="{00000000-0005-0000-0000-000045170000}"/>
    <cellStyle name="40% - Accent1 25 6" xfId="28622" xr:uid="{00000000-0005-0000-0000-000046170000}"/>
    <cellStyle name="40% - Accent1 26" xfId="10191" xr:uid="{00000000-0005-0000-0000-000047170000}"/>
    <cellStyle name="40% - Accent1 27" xfId="10192" xr:uid="{00000000-0005-0000-0000-000048170000}"/>
    <cellStyle name="40% - Accent1 27 2" xfId="10193" xr:uid="{00000000-0005-0000-0000-000049170000}"/>
    <cellStyle name="40% - Accent1 27 2 2" xfId="10194" xr:uid="{00000000-0005-0000-0000-00004A170000}"/>
    <cellStyle name="40% - Accent1 27 2 2 2" xfId="26135" xr:uid="{00000000-0005-0000-0000-00004B170000}"/>
    <cellStyle name="40% - Accent1 27 2 2 3" xfId="28630" xr:uid="{00000000-0005-0000-0000-00004C170000}"/>
    <cellStyle name="40% - Accent1 27 2 3" xfId="10195" xr:uid="{00000000-0005-0000-0000-00004D170000}"/>
    <cellStyle name="40% - Accent1 27 2 3 2" xfId="26136" xr:uid="{00000000-0005-0000-0000-00004E170000}"/>
    <cellStyle name="40% - Accent1 27 2 3 3" xfId="28631" xr:uid="{00000000-0005-0000-0000-00004F170000}"/>
    <cellStyle name="40% - Accent1 27 2 4" xfId="26134" xr:uid="{00000000-0005-0000-0000-000050170000}"/>
    <cellStyle name="40% - Accent1 27 2 5" xfId="28629" xr:uid="{00000000-0005-0000-0000-000051170000}"/>
    <cellStyle name="40% - Accent1 27 3" xfId="10196" xr:uid="{00000000-0005-0000-0000-000052170000}"/>
    <cellStyle name="40% - Accent1 27 3 2" xfId="26137" xr:uid="{00000000-0005-0000-0000-000053170000}"/>
    <cellStyle name="40% - Accent1 27 3 3" xfId="28632" xr:uid="{00000000-0005-0000-0000-000054170000}"/>
    <cellStyle name="40% - Accent1 27 4" xfId="10197" xr:uid="{00000000-0005-0000-0000-000055170000}"/>
    <cellStyle name="40% - Accent1 27 4 2" xfId="26138" xr:uid="{00000000-0005-0000-0000-000056170000}"/>
    <cellStyle name="40% - Accent1 27 4 3" xfId="28633" xr:uid="{00000000-0005-0000-0000-000057170000}"/>
    <cellStyle name="40% - Accent1 27 5" xfId="26133" xr:uid="{00000000-0005-0000-0000-000058170000}"/>
    <cellStyle name="40% - Accent1 27 6" xfId="28628" xr:uid="{00000000-0005-0000-0000-000059170000}"/>
    <cellStyle name="40% - Accent1 28" xfId="10198" xr:uid="{00000000-0005-0000-0000-00005A170000}"/>
    <cellStyle name="40% - Accent1 28 2" xfId="10199" xr:uid="{00000000-0005-0000-0000-00005B170000}"/>
    <cellStyle name="40% - Accent1 28 2 2" xfId="26140" xr:uid="{00000000-0005-0000-0000-00005C170000}"/>
    <cellStyle name="40% - Accent1 28 2 3" xfId="28635" xr:uid="{00000000-0005-0000-0000-00005D170000}"/>
    <cellStyle name="40% - Accent1 28 3" xfId="10200" xr:uid="{00000000-0005-0000-0000-00005E170000}"/>
    <cellStyle name="40% - Accent1 28 3 2" xfId="26141" xr:uid="{00000000-0005-0000-0000-00005F170000}"/>
    <cellStyle name="40% - Accent1 28 3 3" xfId="28636" xr:uid="{00000000-0005-0000-0000-000060170000}"/>
    <cellStyle name="40% - Accent1 28 4" xfId="26139" xr:uid="{00000000-0005-0000-0000-000061170000}"/>
    <cellStyle name="40% - Accent1 28 5" xfId="28634" xr:uid="{00000000-0005-0000-0000-000062170000}"/>
    <cellStyle name="40% - Accent1 29" xfId="10201" xr:uid="{00000000-0005-0000-0000-000063170000}"/>
    <cellStyle name="40% - Accent1 29 2" xfId="26142" xr:uid="{00000000-0005-0000-0000-000064170000}"/>
    <cellStyle name="40% - Accent1 29 3" xfId="28637" xr:uid="{00000000-0005-0000-0000-000065170000}"/>
    <cellStyle name="40% - Accent1 3" xfId="213" xr:uid="{00000000-0005-0000-0000-000066170000}"/>
    <cellStyle name="40% - Accent1 3 10" xfId="3681" xr:uid="{00000000-0005-0000-0000-000067170000}"/>
    <cellStyle name="40% - Accent1 3 10 2" xfId="4465" xr:uid="{00000000-0005-0000-0000-000068170000}"/>
    <cellStyle name="40% - Accent1 3 10 2 2" xfId="10202" xr:uid="{00000000-0005-0000-0000-000069170000}"/>
    <cellStyle name="40% - Accent1 3 10 3" xfId="10203" xr:uid="{00000000-0005-0000-0000-00006A170000}"/>
    <cellStyle name="40% - Accent1 3 10 4" xfId="10204" xr:uid="{00000000-0005-0000-0000-00006B170000}"/>
    <cellStyle name="40% - Accent1 3 10 5" xfId="10205" xr:uid="{00000000-0005-0000-0000-00006C170000}"/>
    <cellStyle name="40% - Accent1 3 11" xfId="10206" xr:uid="{00000000-0005-0000-0000-00006D170000}"/>
    <cellStyle name="40% - Accent1 3 11 2" xfId="10207" xr:uid="{00000000-0005-0000-0000-00006E170000}"/>
    <cellStyle name="40% - Accent1 3 11 3" xfId="10208" xr:uid="{00000000-0005-0000-0000-00006F170000}"/>
    <cellStyle name="40% - Accent1 3 12" xfId="10209" xr:uid="{00000000-0005-0000-0000-000070170000}"/>
    <cellStyle name="40% - Accent1 3 12 2" xfId="10210" xr:uid="{00000000-0005-0000-0000-000071170000}"/>
    <cellStyle name="40% - Accent1 3 12 3" xfId="10211" xr:uid="{00000000-0005-0000-0000-000072170000}"/>
    <cellStyle name="40% - Accent1 3 13" xfId="10212" xr:uid="{00000000-0005-0000-0000-000073170000}"/>
    <cellStyle name="40% - Accent1 3 13 2" xfId="10213" xr:uid="{00000000-0005-0000-0000-000074170000}"/>
    <cellStyle name="40% - Accent1 3 13 3" xfId="10214" xr:uid="{00000000-0005-0000-0000-000075170000}"/>
    <cellStyle name="40% - Accent1 3 14" xfId="10215" xr:uid="{00000000-0005-0000-0000-000076170000}"/>
    <cellStyle name="40% - Accent1 3 15" xfId="10216" xr:uid="{00000000-0005-0000-0000-000077170000}"/>
    <cellStyle name="40% - Accent1 3 2" xfId="1454" xr:uid="{00000000-0005-0000-0000-000078170000}"/>
    <cellStyle name="40% - Accent1 3 2 10" xfId="10217" xr:uid="{00000000-0005-0000-0000-000079170000}"/>
    <cellStyle name="40% - Accent1 3 2 10 2" xfId="10218" xr:uid="{00000000-0005-0000-0000-00007A170000}"/>
    <cellStyle name="40% - Accent1 3 2 10 3" xfId="10219" xr:uid="{00000000-0005-0000-0000-00007B170000}"/>
    <cellStyle name="40% - Accent1 3 2 11" xfId="10220" xr:uid="{00000000-0005-0000-0000-00007C170000}"/>
    <cellStyle name="40% - Accent1 3 2 11 2" xfId="10221" xr:uid="{00000000-0005-0000-0000-00007D170000}"/>
    <cellStyle name="40% - Accent1 3 2 11 3" xfId="10222" xr:uid="{00000000-0005-0000-0000-00007E170000}"/>
    <cellStyle name="40% - Accent1 3 2 12" xfId="10223" xr:uid="{00000000-0005-0000-0000-00007F170000}"/>
    <cellStyle name="40% - Accent1 3 2 12 2" xfId="10224" xr:uid="{00000000-0005-0000-0000-000080170000}"/>
    <cellStyle name="40% - Accent1 3 2 12 3" xfId="10225" xr:uid="{00000000-0005-0000-0000-000081170000}"/>
    <cellStyle name="40% - Accent1 3 2 13" xfId="10226" xr:uid="{00000000-0005-0000-0000-000082170000}"/>
    <cellStyle name="40% - Accent1 3 2 14" xfId="10227" xr:uid="{00000000-0005-0000-0000-000083170000}"/>
    <cellStyle name="40% - Accent1 3 2 15" xfId="10228" xr:uid="{00000000-0005-0000-0000-000084170000}"/>
    <cellStyle name="40% - Accent1 3 2 2" xfId="1824" xr:uid="{00000000-0005-0000-0000-000085170000}"/>
    <cellStyle name="40% - Accent1 3 2 2 2" xfId="10229" xr:uid="{00000000-0005-0000-0000-000086170000}"/>
    <cellStyle name="40% - Accent1 3 2 2 3" xfId="10230" xr:uid="{00000000-0005-0000-0000-000087170000}"/>
    <cellStyle name="40% - Accent1 3 2 3" xfId="2199" xr:uid="{00000000-0005-0000-0000-000088170000}"/>
    <cellStyle name="40% - Accent1 3 2 3 2" xfId="10231" xr:uid="{00000000-0005-0000-0000-000089170000}"/>
    <cellStyle name="40% - Accent1 3 2 3 3" xfId="10232" xr:uid="{00000000-0005-0000-0000-00008A170000}"/>
    <cellStyle name="40% - Accent1 3 2 4" xfId="2573" xr:uid="{00000000-0005-0000-0000-00008B170000}"/>
    <cellStyle name="40% - Accent1 3 2 4 2" xfId="10233" xr:uid="{00000000-0005-0000-0000-00008C170000}"/>
    <cellStyle name="40% - Accent1 3 2 4 3" xfId="10234" xr:uid="{00000000-0005-0000-0000-00008D170000}"/>
    <cellStyle name="40% - Accent1 3 2 5" xfId="2945" xr:uid="{00000000-0005-0000-0000-00008E170000}"/>
    <cellStyle name="40% - Accent1 3 2 5 2" xfId="10235" xr:uid="{00000000-0005-0000-0000-00008F170000}"/>
    <cellStyle name="40% - Accent1 3 2 5 3" xfId="10236" xr:uid="{00000000-0005-0000-0000-000090170000}"/>
    <cellStyle name="40% - Accent1 3 2 6" xfId="3317" xr:uid="{00000000-0005-0000-0000-000091170000}"/>
    <cellStyle name="40% - Accent1 3 2 6 2" xfId="10237" xr:uid="{00000000-0005-0000-0000-000092170000}"/>
    <cellStyle name="40% - Accent1 3 2 6 3" xfId="10238" xr:uid="{00000000-0005-0000-0000-000093170000}"/>
    <cellStyle name="40% - Accent1 3 2 7" xfId="4466" xr:uid="{00000000-0005-0000-0000-000094170000}"/>
    <cellStyle name="40% - Accent1 3 2 7 2" xfId="10240" xr:uid="{00000000-0005-0000-0000-000095170000}"/>
    <cellStyle name="40% - Accent1 3 2 7 3" xfId="10241" xr:uid="{00000000-0005-0000-0000-000096170000}"/>
    <cellStyle name="40% - Accent1 3 2 7 4" xfId="10239" xr:uid="{00000000-0005-0000-0000-000097170000}"/>
    <cellStyle name="40% - Accent1 3 2 8" xfId="10242" xr:uid="{00000000-0005-0000-0000-000098170000}"/>
    <cellStyle name="40% - Accent1 3 2 8 2" xfId="10243" xr:uid="{00000000-0005-0000-0000-000099170000}"/>
    <cellStyle name="40% - Accent1 3 2 8 3" xfId="10244" xr:uid="{00000000-0005-0000-0000-00009A170000}"/>
    <cellStyle name="40% - Accent1 3 2 9" xfId="10245" xr:uid="{00000000-0005-0000-0000-00009B170000}"/>
    <cellStyle name="40% - Accent1 3 2 9 2" xfId="10246" xr:uid="{00000000-0005-0000-0000-00009C170000}"/>
    <cellStyle name="40% - Accent1 3 2 9 3" xfId="10247" xr:uid="{00000000-0005-0000-0000-00009D170000}"/>
    <cellStyle name="40% - Accent1 3 3" xfId="1581" xr:uid="{00000000-0005-0000-0000-00009E170000}"/>
    <cellStyle name="40% - Accent1 3 3 2" xfId="1901" xr:uid="{00000000-0005-0000-0000-00009F170000}"/>
    <cellStyle name="40% - Accent1 3 3 3" xfId="2276" xr:uid="{00000000-0005-0000-0000-0000A0170000}"/>
    <cellStyle name="40% - Accent1 3 3 4" xfId="2649" xr:uid="{00000000-0005-0000-0000-0000A1170000}"/>
    <cellStyle name="40% - Accent1 3 3 5" xfId="3022" xr:uid="{00000000-0005-0000-0000-0000A2170000}"/>
    <cellStyle name="40% - Accent1 3 3 6" xfId="3393" xr:uid="{00000000-0005-0000-0000-0000A3170000}"/>
    <cellStyle name="40% - Accent1 3 3 7" xfId="4467" xr:uid="{00000000-0005-0000-0000-0000A4170000}"/>
    <cellStyle name="40% - Accent1 3 4" xfId="1718" xr:uid="{00000000-0005-0000-0000-0000A5170000}"/>
    <cellStyle name="40% - Accent1 3 4 2" xfId="1945" xr:uid="{00000000-0005-0000-0000-0000A6170000}"/>
    <cellStyle name="40% - Accent1 3 4 3" xfId="2320" xr:uid="{00000000-0005-0000-0000-0000A7170000}"/>
    <cellStyle name="40% - Accent1 3 4 4" xfId="2693" xr:uid="{00000000-0005-0000-0000-0000A8170000}"/>
    <cellStyle name="40% - Accent1 3 4 5" xfId="3066" xr:uid="{00000000-0005-0000-0000-0000A9170000}"/>
    <cellStyle name="40% - Accent1 3 4 6" xfId="3437" xr:uid="{00000000-0005-0000-0000-0000AA170000}"/>
    <cellStyle name="40% - Accent1 3 5" xfId="2053" xr:uid="{00000000-0005-0000-0000-0000AB170000}"/>
    <cellStyle name="40% - Accent1 3 5 2" xfId="10248" xr:uid="{00000000-0005-0000-0000-0000AC170000}"/>
    <cellStyle name="40% - Accent1 3 5 3" xfId="10249" xr:uid="{00000000-0005-0000-0000-0000AD170000}"/>
    <cellStyle name="40% - Accent1 3 5 4" xfId="10250" xr:uid="{00000000-0005-0000-0000-0000AE170000}"/>
    <cellStyle name="40% - Accent1 3 6" xfId="2427" xr:uid="{00000000-0005-0000-0000-0000AF170000}"/>
    <cellStyle name="40% - Accent1 3 6 2" xfId="10251" xr:uid="{00000000-0005-0000-0000-0000B0170000}"/>
    <cellStyle name="40% - Accent1 3 6 3" xfId="10252" xr:uid="{00000000-0005-0000-0000-0000B1170000}"/>
    <cellStyle name="40% - Accent1 3 6 4" xfId="10253" xr:uid="{00000000-0005-0000-0000-0000B2170000}"/>
    <cellStyle name="40% - Accent1 3 7" xfId="2799" xr:uid="{00000000-0005-0000-0000-0000B3170000}"/>
    <cellStyle name="40% - Accent1 3 7 2" xfId="10254" xr:uid="{00000000-0005-0000-0000-0000B4170000}"/>
    <cellStyle name="40% - Accent1 3 7 3" xfId="10255" xr:uid="{00000000-0005-0000-0000-0000B5170000}"/>
    <cellStyle name="40% - Accent1 3 7 4" xfId="10256" xr:uid="{00000000-0005-0000-0000-0000B6170000}"/>
    <cellStyle name="40% - Accent1 3 8" xfId="3170" xr:uid="{00000000-0005-0000-0000-0000B7170000}"/>
    <cellStyle name="40% - Accent1 3 8 2" xfId="10257" xr:uid="{00000000-0005-0000-0000-0000B8170000}"/>
    <cellStyle name="40% - Accent1 3 8 3" xfId="10258" xr:uid="{00000000-0005-0000-0000-0000B9170000}"/>
    <cellStyle name="40% - Accent1 3 8 4" xfId="10259" xr:uid="{00000000-0005-0000-0000-0000BA170000}"/>
    <cellStyle name="40% - Accent1 3 9" xfId="3545" xr:uid="{00000000-0005-0000-0000-0000BB170000}"/>
    <cellStyle name="40% - Accent1 3 9 2" xfId="4468" xr:uid="{00000000-0005-0000-0000-0000BC170000}"/>
    <cellStyle name="40% - Accent1 3 9 2 2" xfId="10260" xr:uid="{00000000-0005-0000-0000-0000BD170000}"/>
    <cellStyle name="40% - Accent1 3 9 3" xfId="10261" xr:uid="{00000000-0005-0000-0000-0000BE170000}"/>
    <cellStyle name="40% - Accent1 3 9 4" xfId="10262" xr:uid="{00000000-0005-0000-0000-0000BF170000}"/>
    <cellStyle name="40% - Accent1 3 9 5" xfId="10263" xr:uid="{00000000-0005-0000-0000-0000C0170000}"/>
    <cellStyle name="40% - Accent1 30" xfId="28141" xr:uid="{00000000-0005-0000-0000-0000C1170000}"/>
    <cellStyle name="40% - Accent1 4" xfId="241" xr:uid="{00000000-0005-0000-0000-0000C2170000}"/>
    <cellStyle name="40% - Accent1 4 10" xfId="3725" xr:uid="{00000000-0005-0000-0000-0000C3170000}"/>
    <cellStyle name="40% - Accent1 4 10 2" xfId="4470" xr:uid="{00000000-0005-0000-0000-0000C4170000}"/>
    <cellStyle name="40% - Accent1 4 10 2 2" xfId="10265" xr:uid="{00000000-0005-0000-0000-0000C5170000}"/>
    <cellStyle name="40% - Accent1 4 10 3" xfId="10266" xr:uid="{00000000-0005-0000-0000-0000C6170000}"/>
    <cellStyle name="40% - Accent1 4 10 4" xfId="10267" xr:uid="{00000000-0005-0000-0000-0000C7170000}"/>
    <cellStyle name="40% - Accent1 4 10 5" xfId="10268" xr:uid="{00000000-0005-0000-0000-0000C8170000}"/>
    <cellStyle name="40% - Accent1 4 11" xfId="1295" xr:uid="{00000000-0005-0000-0000-0000C9170000}"/>
    <cellStyle name="40% - Accent1 4 11 10" xfId="26143" xr:uid="{00000000-0005-0000-0000-0000CA170000}"/>
    <cellStyle name="40% - Accent1 4 11 11" xfId="28639" xr:uid="{00000000-0005-0000-0000-0000CB170000}"/>
    <cellStyle name="40% - Accent1 4 11 2" xfId="4145" xr:uid="{00000000-0005-0000-0000-0000CC170000}"/>
    <cellStyle name="40% - Accent1 4 11 2 2" xfId="5378" xr:uid="{00000000-0005-0000-0000-0000CD170000}"/>
    <cellStyle name="40% - Accent1 4 11 2 2 2" xfId="6216" xr:uid="{00000000-0005-0000-0000-0000CE170000}"/>
    <cellStyle name="40% - Accent1 4 11 2 2 2 2" xfId="26146" xr:uid="{00000000-0005-0000-0000-0000CF170000}"/>
    <cellStyle name="40% - Accent1 4 11 2 2 3" xfId="10271" xr:uid="{00000000-0005-0000-0000-0000D0170000}"/>
    <cellStyle name="40% - Accent1 4 11 2 2 4" xfId="26145" xr:uid="{00000000-0005-0000-0000-0000D1170000}"/>
    <cellStyle name="40% - Accent1 4 11 2 3" xfId="5688" xr:uid="{00000000-0005-0000-0000-0000D2170000}"/>
    <cellStyle name="40% - Accent1 4 11 2 3 2" xfId="6217" xr:uid="{00000000-0005-0000-0000-0000D3170000}"/>
    <cellStyle name="40% - Accent1 4 11 2 3 2 2" xfId="26148" xr:uid="{00000000-0005-0000-0000-0000D4170000}"/>
    <cellStyle name="40% - Accent1 4 11 2 3 3" xfId="26147" xr:uid="{00000000-0005-0000-0000-0000D5170000}"/>
    <cellStyle name="40% - Accent1 4 11 2 4" xfId="4472" xr:uid="{00000000-0005-0000-0000-0000D6170000}"/>
    <cellStyle name="40% - Accent1 4 11 2 4 2" xfId="6218" xr:uid="{00000000-0005-0000-0000-0000D7170000}"/>
    <cellStyle name="40% - Accent1 4 11 2 4 2 2" xfId="26150" xr:uid="{00000000-0005-0000-0000-0000D8170000}"/>
    <cellStyle name="40% - Accent1 4 11 2 4 3" xfId="26149" xr:uid="{00000000-0005-0000-0000-0000D9170000}"/>
    <cellStyle name="40% - Accent1 4 11 2 5" xfId="6215" xr:uid="{00000000-0005-0000-0000-0000DA170000}"/>
    <cellStyle name="40% - Accent1 4 11 2 5 2" xfId="26151" xr:uid="{00000000-0005-0000-0000-0000DB170000}"/>
    <cellStyle name="40% - Accent1 4 11 2 6" xfId="10270" xr:uid="{00000000-0005-0000-0000-0000DC170000}"/>
    <cellStyle name="40% - Accent1 4 11 2 6 2" xfId="26152" xr:uid="{00000000-0005-0000-0000-0000DD170000}"/>
    <cellStyle name="40% - Accent1 4 11 2 7" xfId="24997" xr:uid="{00000000-0005-0000-0000-0000DE170000}"/>
    <cellStyle name="40% - Accent1 4 11 2 8" xfId="26144" xr:uid="{00000000-0005-0000-0000-0000DF170000}"/>
    <cellStyle name="40% - Accent1 4 11 2 9" xfId="28640" xr:uid="{00000000-0005-0000-0000-0000E0170000}"/>
    <cellStyle name="40% - Accent1 4 11 3" xfId="5377" xr:uid="{00000000-0005-0000-0000-0000E1170000}"/>
    <cellStyle name="40% - Accent1 4 11 3 2" xfId="6219" xr:uid="{00000000-0005-0000-0000-0000E2170000}"/>
    <cellStyle name="40% - Accent1 4 11 3 2 2" xfId="26154" xr:uid="{00000000-0005-0000-0000-0000E3170000}"/>
    <cellStyle name="40% - Accent1 4 11 3 3" xfId="10272" xr:uid="{00000000-0005-0000-0000-0000E4170000}"/>
    <cellStyle name="40% - Accent1 4 11 3 4" xfId="26153" xr:uid="{00000000-0005-0000-0000-0000E5170000}"/>
    <cellStyle name="40% - Accent1 4 11 4" xfId="5687" xr:uid="{00000000-0005-0000-0000-0000E6170000}"/>
    <cellStyle name="40% - Accent1 4 11 4 2" xfId="6220" xr:uid="{00000000-0005-0000-0000-0000E7170000}"/>
    <cellStyle name="40% - Accent1 4 11 4 2 2" xfId="26156" xr:uid="{00000000-0005-0000-0000-0000E8170000}"/>
    <cellStyle name="40% - Accent1 4 11 4 3" xfId="10273" xr:uid="{00000000-0005-0000-0000-0000E9170000}"/>
    <cellStyle name="40% - Accent1 4 11 4 4" xfId="26155" xr:uid="{00000000-0005-0000-0000-0000EA170000}"/>
    <cellStyle name="40% - Accent1 4 11 5" xfId="4471" xr:uid="{00000000-0005-0000-0000-0000EB170000}"/>
    <cellStyle name="40% - Accent1 4 11 5 2" xfId="6221" xr:uid="{00000000-0005-0000-0000-0000EC170000}"/>
    <cellStyle name="40% - Accent1 4 11 5 2 2" xfId="10275" xr:uid="{00000000-0005-0000-0000-0000ED170000}"/>
    <cellStyle name="40% - Accent1 4 11 5 2 2 2" xfId="26159" xr:uid="{00000000-0005-0000-0000-0000EE170000}"/>
    <cellStyle name="40% - Accent1 4 11 5 2 3" xfId="26158" xr:uid="{00000000-0005-0000-0000-0000EF170000}"/>
    <cellStyle name="40% - Accent1 4 11 5 2 4" xfId="28642" xr:uid="{00000000-0005-0000-0000-0000F0170000}"/>
    <cellStyle name="40% - Accent1 4 11 5 3" xfId="10276" xr:uid="{00000000-0005-0000-0000-0000F1170000}"/>
    <cellStyle name="40% - Accent1 4 11 5 3 2" xfId="26160" xr:uid="{00000000-0005-0000-0000-0000F2170000}"/>
    <cellStyle name="40% - Accent1 4 11 5 3 3" xfId="28643" xr:uid="{00000000-0005-0000-0000-0000F3170000}"/>
    <cellStyle name="40% - Accent1 4 11 5 4" xfId="10274" xr:uid="{00000000-0005-0000-0000-0000F4170000}"/>
    <cellStyle name="40% - Accent1 4 11 5 4 2" xfId="26161" xr:uid="{00000000-0005-0000-0000-0000F5170000}"/>
    <cellStyle name="40% - Accent1 4 11 5 5" xfId="26157" xr:uid="{00000000-0005-0000-0000-0000F6170000}"/>
    <cellStyle name="40% - Accent1 4 11 5 6" xfId="28641" xr:uid="{00000000-0005-0000-0000-0000F7170000}"/>
    <cellStyle name="40% - Accent1 4 11 6" xfId="6214" xr:uid="{00000000-0005-0000-0000-0000F8170000}"/>
    <cellStyle name="40% - Accent1 4 11 6 2" xfId="10277" xr:uid="{00000000-0005-0000-0000-0000F9170000}"/>
    <cellStyle name="40% - Accent1 4 11 6 2 2" xfId="26163" xr:uid="{00000000-0005-0000-0000-0000FA170000}"/>
    <cellStyle name="40% - Accent1 4 11 6 3" xfId="26162" xr:uid="{00000000-0005-0000-0000-0000FB170000}"/>
    <cellStyle name="40% - Accent1 4 11 6 4" xfId="28644" xr:uid="{00000000-0005-0000-0000-0000FC170000}"/>
    <cellStyle name="40% - Accent1 4 11 7" xfId="10278" xr:uid="{00000000-0005-0000-0000-0000FD170000}"/>
    <cellStyle name="40% - Accent1 4 11 7 2" xfId="26164" xr:uid="{00000000-0005-0000-0000-0000FE170000}"/>
    <cellStyle name="40% - Accent1 4 11 7 3" xfId="28645" xr:uid="{00000000-0005-0000-0000-0000FF170000}"/>
    <cellStyle name="40% - Accent1 4 11 8" xfId="10269" xr:uid="{00000000-0005-0000-0000-000000180000}"/>
    <cellStyle name="40% - Accent1 4 11 8 2" xfId="26165" xr:uid="{00000000-0005-0000-0000-000001180000}"/>
    <cellStyle name="40% - Accent1 4 11 9" xfId="24877" xr:uid="{00000000-0005-0000-0000-000002180000}"/>
    <cellStyle name="40% - Accent1 4 12" xfId="4473" xr:uid="{00000000-0005-0000-0000-000003180000}"/>
    <cellStyle name="40% - Accent1 4 12 2" xfId="5379" xr:uid="{00000000-0005-0000-0000-000004180000}"/>
    <cellStyle name="40% - Accent1 4 12 2 2" xfId="6223" xr:uid="{00000000-0005-0000-0000-000005180000}"/>
    <cellStyle name="40% - Accent1 4 12 2 2 2" xfId="26168" xr:uid="{00000000-0005-0000-0000-000006180000}"/>
    <cellStyle name="40% - Accent1 4 12 2 3" xfId="10280" xr:uid="{00000000-0005-0000-0000-000007180000}"/>
    <cellStyle name="40% - Accent1 4 12 2 4" xfId="26167" xr:uid="{00000000-0005-0000-0000-000008180000}"/>
    <cellStyle name="40% - Accent1 4 12 3" xfId="5689" xr:uid="{00000000-0005-0000-0000-000009180000}"/>
    <cellStyle name="40% - Accent1 4 12 3 2" xfId="6224" xr:uid="{00000000-0005-0000-0000-00000A180000}"/>
    <cellStyle name="40% - Accent1 4 12 3 2 2" xfId="26170" xr:uid="{00000000-0005-0000-0000-00000B180000}"/>
    <cellStyle name="40% - Accent1 4 12 3 3" xfId="10281" xr:uid="{00000000-0005-0000-0000-00000C180000}"/>
    <cellStyle name="40% - Accent1 4 12 3 4" xfId="26169" xr:uid="{00000000-0005-0000-0000-00000D180000}"/>
    <cellStyle name="40% - Accent1 4 12 4" xfId="6222" xr:uid="{00000000-0005-0000-0000-00000E180000}"/>
    <cellStyle name="40% - Accent1 4 12 4 2" xfId="10282" xr:uid="{00000000-0005-0000-0000-00000F180000}"/>
    <cellStyle name="40% - Accent1 4 12 4 3" xfId="26171" xr:uid="{00000000-0005-0000-0000-000010180000}"/>
    <cellStyle name="40% - Accent1 4 12 5" xfId="10279" xr:uid="{00000000-0005-0000-0000-000011180000}"/>
    <cellStyle name="40% - Accent1 4 12 5 2" xfId="26172" xr:uid="{00000000-0005-0000-0000-000012180000}"/>
    <cellStyle name="40% - Accent1 4 12 6" xfId="26166" xr:uid="{00000000-0005-0000-0000-000013180000}"/>
    <cellStyle name="40% - Accent1 4 12 7" xfId="28646" xr:uid="{00000000-0005-0000-0000-000014180000}"/>
    <cellStyle name="40% - Accent1 4 13" xfId="5376" xr:uid="{00000000-0005-0000-0000-000015180000}"/>
    <cellStyle name="40% - Accent1 4 13 2" xfId="6225" xr:uid="{00000000-0005-0000-0000-000016180000}"/>
    <cellStyle name="40% - Accent1 4 13 2 2" xfId="10284" xr:uid="{00000000-0005-0000-0000-000017180000}"/>
    <cellStyle name="40% - Accent1 4 13 2 3" xfId="26174" xr:uid="{00000000-0005-0000-0000-000018180000}"/>
    <cellStyle name="40% - Accent1 4 13 3" xfId="10285" xr:uid="{00000000-0005-0000-0000-000019180000}"/>
    <cellStyle name="40% - Accent1 4 13 4" xfId="10283" xr:uid="{00000000-0005-0000-0000-00001A180000}"/>
    <cellStyle name="40% - Accent1 4 13 5" xfId="26173" xr:uid="{00000000-0005-0000-0000-00001B180000}"/>
    <cellStyle name="40% - Accent1 4 14" xfId="5686" xr:uid="{00000000-0005-0000-0000-00001C180000}"/>
    <cellStyle name="40% - Accent1 4 14 2" xfId="6226" xr:uid="{00000000-0005-0000-0000-00001D180000}"/>
    <cellStyle name="40% - Accent1 4 14 2 2" xfId="26176" xr:uid="{00000000-0005-0000-0000-00001E180000}"/>
    <cellStyle name="40% - Accent1 4 14 3" xfId="10286" xr:uid="{00000000-0005-0000-0000-00001F180000}"/>
    <cellStyle name="40% - Accent1 4 14 4" xfId="26175" xr:uid="{00000000-0005-0000-0000-000020180000}"/>
    <cellStyle name="40% - Accent1 4 15" xfId="4469" xr:uid="{00000000-0005-0000-0000-000021180000}"/>
    <cellStyle name="40% - Accent1 4 15 2" xfId="6227" xr:uid="{00000000-0005-0000-0000-000022180000}"/>
    <cellStyle name="40% - Accent1 4 15 2 2" xfId="26178" xr:uid="{00000000-0005-0000-0000-000023180000}"/>
    <cellStyle name="40% - Accent1 4 15 3" xfId="10287" xr:uid="{00000000-0005-0000-0000-000024180000}"/>
    <cellStyle name="40% - Accent1 4 15 4" xfId="26177" xr:uid="{00000000-0005-0000-0000-000025180000}"/>
    <cellStyle name="40% - Accent1 4 16" xfId="10288" xr:uid="{00000000-0005-0000-0000-000026180000}"/>
    <cellStyle name="40% - Accent1 4 17" xfId="10289" xr:uid="{00000000-0005-0000-0000-000027180000}"/>
    <cellStyle name="40% - Accent1 4 17 2" xfId="10290" xr:uid="{00000000-0005-0000-0000-000028180000}"/>
    <cellStyle name="40% - Accent1 4 17 2 2" xfId="26180" xr:uid="{00000000-0005-0000-0000-000029180000}"/>
    <cellStyle name="40% - Accent1 4 17 2 3" xfId="28648" xr:uid="{00000000-0005-0000-0000-00002A180000}"/>
    <cellStyle name="40% - Accent1 4 17 3" xfId="10291" xr:uid="{00000000-0005-0000-0000-00002B180000}"/>
    <cellStyle name="40% - Accent1 4 17 3 2" xfId="26181" xr:uid="{00000000-0005-0000-0000-00002C180000}"/>
    <cellStyle name="40% - Accent1 4 17 3 3" xfId="28649" xr:uid="{00000000-0005-0000-0000-00002D180000}"/>
    <cellStyle name="40% - Accent1 4 17 4" xfId="26179" xr:uid="{00000000-0005-0000-0000-00002E180000}"/>
    <cellStyle name="40% - Accent1 4 17 5" xfId="28647" xr:uid="{00000000-0005-0000-0000-00002F180000}"/>
    <cellStyle name="40% - Accent1 4 18" xfId="10292" xr:uid="{00000000-0005-0000-0000-000030180000}"/>
    <cellStyle name="40% - Accent1 4 18 2" xfId="26182" xr:uid="{00000000-0005-0000-0000-000031180000}"/>
    <cellStyle name="40% - Accent1 4 18 3" xfId="28650" xr:uid="{00000000-0005-0000-0000-000032180000}"/>
    <cellStyle name="40% - Accent1 4 19" xfId="10293" xr:uid="{00000000-0005-0000-0000-000033180000}"/>
    <cellStyle name="40% - Accent1 4 19 2" xfId="26183" xr:uid="{00000000-0005-0000-0000-000034180000}"/>
    <cellStyle name="40% - Accent1 4 19 3" xfId="28651" xr:uid="{00000000-0005-0000-0000-000035180000}"/>
    <cellStyle name="40% - Accent1 4 2" xfId="1499" xr:uid="{00000000-0005-0000-0000-000036180000}"/>
    <cellStyle name="40% - Accent1 4 2 10" xfId="10294" xr:uid="{00000000-0005-0000-0000-000037180000}"/>
    <cellStyle name="40% - Accent1 4 2 10 2" xfId="10295" xr:uid="{00000000-0005-0000-0000-000038180000}"/>
    <cellStyle name="40% - Accent1 4 2 10 3" xfId="10296" xr:uid="{00000000-0005-0000-0000-000039180000}"/>
    <cellStyle name="40% - Accent1 4 2 11" xfId="10297" xr:uid="{00000000-0005-0000-0000-00003A180000}"/>
    <cellStyle name="40% - Accent1 4 2 11 2" xfId="10298" xr:uid="{00000000-0005-0000-0000-00003B180000}"/>
    <cellStyle name="40% - Accent1 4 2 11 3" xfId="10299" xr:uid="{00000000-0005-0000-0000-00003C180000}"/>
    <cellStyle name="40% - Accent1 4 2 12" xfId="10300" xr:uid="{00000000-0005-0000-0000-00003D180000}"/>
    <cellStyle name="40% - Accent1 4 2 12 2" xfId="10301" xr:uid="{00000000-0005-0000-0000-00003E180000}"/>
    <cellStyle name="40% - Accent1 4 2 12 3" xfId="10302" xr:uid="{00000000-0005-0000-0000-00003F180000}"/>
    <cellStyle name="40% - Accent1 4 2 13" xfId="10303" xr:uid="{00000000-0005-0000-0000-000040180000}"/>
    <cellStyle name="40% - Accent1 4 2 14" xfId="10304" xr:uid="{00000000-0005-0000-0000-000041180000}"/>
    <cellStyle name="40% - Accent1 4 2 15" xfId="10305" xr:uid="{00000000-0005-0000-0000-000042180000}"/>
    <cellStyle name="40% - Accent1 4 2 16" xfId="10306" xr:uid="{00000000-0005-0000-0000-000043180000}"/>
    <cellStyle name="40% - Accent1 4 2 2" xfId="4474" xr:uid="{00000000-0005-0000-0000-000044180000}"/>
    <cellStyle name="40% - Accent1 4 2 2 2" xfId="10308" xr:uid="{00000000-0005-0000-0000-000045180000}"/>
    <cellStyle name="40% - Accent1 4 2 2 3" xfId="10309" xr:uid="{00000000-0005-0000-0000-000046180000}"/>
    <cellStyle name="40% - Accent1 4 2 2 4" xfId="10307" xr:uid="{00000000-0005-0000-0000-000047180000}"/>
    <cellStyle name="40% - Accent1 4 2 3" xfId="10310" xr:uid="{00000000-0005-0000-0000-000048180000}"/>
    <cellStyle name="40% - Accent1 4 2 3 2" xfId="10311" xr:uid="{00000000-0005-0000-0000-000049180000}"/>
    <cellStyle name="40% - Accent1 4 2 3 3" xfId="10312" xr:uid="{00000000-0005-0000-0000-00004A180000}"/>
    <cellStyle name="40% - Accent1 4 2 4" xfId="10313" xr:uid="{00000000-0005-0000-0000-00004B180000}"/>
    <cellStyle name="40% - Accent1 4 2 4 2" xfId="10314" xr:uid="{00000000-0005-0000-0000-00004C180000}"/>
    <cellStyle name="40% - Accent1 4 2 4 3" xfId="10315" xr:uid="{00000000-0005-0000-0000-00004D180000}"/>
    <cellStyle name="40% - Accent1 4 2 5" xfId="10316" xr:uid="{00000000-0005-0000-0000-00004E180000}"/>
    <cellStyle name="40% - Accent1 4 2 5 2" xfId="10317" xr:uid="{00000000-0005-0000-0000-00004F180000}"/>
    <cellStyle name="40% - Accent1 4 2 5 3" xfId="10318" xr:uid="{00000000-0005-0000-0000-000050180000}"/>
    <cellStyle name="40% - Accent1 4 2 6" xfId="10319" xr:uid="{00000000-0005-0000-0000-000051180000}"/>
    <cellStyle name="40% - Accent1 4 2 6 2" xfId="10320" xr:uid="{00000000-0005-0000-0000-000052180000}"/>
    <cellStyle name="40% - Accent1 4 2 6 3" xfId="10321" xr:uid="{00000000-0005-0000-0000-000053180000}"/>
    <cellStyle name="40% - Accent1 4 2 7" xfId="10322" xr:uid="{00000000-0005-0000-0000-000054180000}"/>
    <cellStyle name="40% - Accent1 4 2 7 2" xfId="10323" xr:uid="{00000000-0005-0000-0000-000055180000}"/>
    <cellStyle name="40% - Accent1 4 2 7 3" xfId="10324" xr:uid="{00000000-0005-0000-0000-000056180000}"/>
    <cellStyle name="40% - Accent1 4 2 8" xfId="10325" xr:uid="{00000000-0005-0000-0000-000057180000}"/>
    <cellStyle name="40% - Accent1 4 2 8 2" xfId="10326" xr:uid="{00000000-0005-0000-0000-000058180000}"/>
    <cellStyle name="40% - Accent1 4 2 8 3" xfId="10327" xr:uid="{00000000-0005-0000-0000-000059180000}"/>
    <cellStyle name="40% - Accent1 4 2 9" xfId="10328" xr:uid="{00000000-0005-0000-0000-00005A180000}"/>
    <cellStyle name="40% - Accent1 4 2 9 2" xfId="10329" xr:uid="{00000000-0005-0000-0000-00005B180000}"/>
    <cellStyle name="40% - Accent1 4 2 9 3" xfId="10330" xr:uid="{00000000-0005-0000-0000-00005C180000}"/>
    <cellStyle name="40% - Accent1 4 20" xfId="10264" xr:uid="{00000000-0005-0000-0000-00005D180000}"/>
    <cellStyle name="40% - Accent1 4 20 2" xfId="26184" xr:uid="{00000000-0005-0000-0000-00005E180000}"/>
    <cellStyle name="40% - Accent1 4 21" xfId="28638" xr:uid="{00000000-0005-0000-0000-00005F180000}"/>
    <cellStyle name="40% - Accent1 4 3" xfId="1624" xr:uid="{00000000-0005-0000-0000-000060180000}"/>
    <cellStyle name="40% - Accent1 4 3 2" xfId="4475" xr:uid="{00000000-0005-0000-0000-000061180000}"/>
    <cellStyle name="40% - Accent1 4 3 2 2" xfId="10331" xr:uid="{00000000-0005-0000-0000-000062180000}"/>
    <cellStyle name="40% - Accent1 4 3 3" xfId="10332" xr:uid="{00000000-0005-0000-0000-000063180000}"/>
    <cellStyle name="40% - Accent1 4 3 4" xfId="10333" xr:uid="{00000000-0005-0000-0000-000064180000}"/>
    <cellStyle name="40% - Accent1 4 3 5" xfId="10334" xr:uid="{00000000-0005-0000-0000-000065180000}"/>
    <cellStyle name="40% - Accent1 4 4" xfId="1798" xr:uid="{00000000-0005-0000-0000-000066180000}"/>
    <cellStyle name="40% - Accent1 4 4 2" xfId="10335" xr:uid="{00000000-0005-0000-0000-000067180000}"/>
    <cellStyle name="40% - Accent1 4 4 3" xfId="10336" xr:uid="{00000000-0005-0000-0000-000068180000}"/>
    <cellStyle name="40% - Accent1 4 4 4" xfId="10337" xr:uid="{00000000-0005-0000-0000-000069180000}"/>
    <cellStyle name="40% - Accent1 4 5" xfId="2134" xr:uid="{00000000-0005-0000-0000-00006A180000}"/>
    <cellStyle name="40% - Accent1 4 5 2" xfId="10338" xr:uid="{00000000-0005-0000-0000-00006B180000}"/>
    <cellStyle name="40% - Accent1 4 5 3" xfId="10339" xr:uid="{00000000-0005-0000-0000-00006C180000}"/>
    <cellStyle name="40% - Accent1 4 5 4" xfId="10340" xr:uid="{00000000-0005-0000-0000-00006D180000}"/>
    <cellStyle name="40% - Accent1 4 6" xfId="2508" xr:uid="{00000000-0005-0000-0000-00006E180000}"/>
    <cellStyle name="40% - Accent1 4 6 2" xfId="10341" xr:uid="{00000000-0005-0000-0000-00006F180000}"/>
    <cellStyle name="40% - Accent1 4 6 3" xfId="10342" xr:uid="{00000000-0005-0000-0000-000070180000}"/>
    <cellStyle name="40% - Accent1 4 6 4" xfId="10343" xr:uid="{00000000-0005-0000-0000-000071180000}"/>
    <cellStyle name="40% - Accent1 4 7" xfId="2880" xr:uid="{00000000-0005-0000-0000-000072180000}"/>
    <cellStyle name="40% - Accent1 4 7 2" xfId="10344" xr:uid="{00000000-0005-0000-0000-000073180000}"/>
    <cellStyle name="40% - Accent1 4 7 3" xfId="10345" xr:uid="{00000000-0005-0000-0000-000074180000}"/>
    <cellStyle name="40% - Accent1 4 7 4" xfId="10346" xr:uid="{00000000-0005-0000-0000-000075180000}"/>
    <cellStyle name="40% - Accent1 4 8" xfId="3251" xr:uid="{00000000-0005-0000-0000-000076180000}"/>
    <cellStyle name="40% - Accent1 4 8 2" xfId="10347" xr:uid="{00000000-0005-0000-0000-000077180000}"/>
    <cellStyle name="40% - Accent1 4 8 3" xfId="10348" xr:uid="{00000000-0005-0000-0000-000078180000}"/>
    <cellStyle name="40% - Accent1 4 8 4" xfId="10349" xr:uid="{00000000-0005-0000-0000-000079180000}"/>
    <cellStyle name="40% - Accent1 4 9" xfId="3588" xr:uid="{00000000-0005-0000-0000-00007A180000}"/>
    <cellStyle name="40% - Accent1 4 9 2" xfId="4476" xr:uid="{00000000-0005-0000-0000-00007B180000}"/>
    <cellStyle name="40% - Accent1 4 9 2 2" xfId="10350" xr:uid="{00000000-0005-0000-0000-00007C180000}"/>
    <cellStyle name="40% - Accent1 4 9 3" xfId="10351" xr:uid="{00000000-0005-0000-0000-00007D180000}"/>
    <cellStyle name="40% - Accent1 4 9 4" xfId="10352" xr:uid="{00000000-0005-0000-0000-00007E180000}"/>
    <cellStyle name="40% - Accent1 4 9 5" xfId="10353" xr:uid="{00000000-0005-0000-0000-00007F180000}"/>
    <cellStyle name="40% - Accent1 5" xfId="383" xr:uid="{00000000-0005-0000-0000-000080180000}"/>
    <cellStyle name="40% - Accent1 5 10" xfId="10354" xr:uid="{00000000-0005-0000-0000-000081180000}"/>
    <cellStyle name="40% - Accent1 5 10 2" xfId="10355" xr:uid="{00000000-0005-0000-0000-000082180000}"/>
    <cellStyle name="40% - Accent1 5 10 3" xfId="10356" xr:uid="{00000000-0005-0000-0000-000083180000}"/>
    <cellStyle name="40% - Accent1 5 11" xfId="10357" xr:uid="{00000000-0005-0000-0000-000084180000}"/>
    <cellStyle name="40% - Accent1 5 11 2" xfId="10358" xr:uid="{00000000-0005-0000-0000-000085180000}"/>
    <cellStyle name="40% - Accent1 5 11 3" xfId="10359" xr:uid="{00000000-0005-0000-0000-000086180000}"/>
    <cellStyle name="40% - Accent1 5 12" xfId="10360" xr:uid="{00000000-0005-0000-0000-000087180000}"/>
    <cellStyle name="40% - Accent1 5 12 2" xfId="10361" xr:uid="{00000000-0005-0000-0000-000088180000}"/>
    <cellStyle name="40% - Accent1 5 12 3" xfId="10362" xr:uid="{00000000-0005-0000-0000-000089180000}"/>
    <cellStyle name="40% - Accent1 5 13" xfId="10363" xr:uid="{00000000-0005-0000-0000-00008A180000}"/>
    <cellStyle name="40% - Accent1 5 13 2" xfId="10364" xr:uid="{00000000-0005-0000-0000-00008B180000}"/>
    <cellStyle name="40% - Accent1 5 13 3" xfId="10365" xr:uid="{00000000-0005-0000-0000-00008C180000}"/>
    <cellStyle name="40% - Accent1 5 14" xfId="10366" xr:uid="{00000000-0005-0000-0000-00008D180000}"/>
    <cellStyle name="40% - Accent1 5 15" xfId="10367" xr:uid="{00000000-0005-0000-0000-00008E180000}"/>
    <cellStyle name="40% - Accent1 5 16" xfId="10368" xr:uid="{00000000-0005-0000-0000-00008F180000}"/>
    <cellStyle name="40% - Accent1 5 17" xfId="10369" xr:uid="{00000000-0005-0000-0000-000090180000}"/>
    <cellStyle name="40% - Accent1 5 2" xfId="1862" xr:uid="{00000000-0005-0000-0000-000091180000}"/>
    <cellStyle name="40% - Accent1 5 2 10" xfId="10370" xr:uid="{00000000-0005-0000-0000-000092180000}"/>
    <cellStyle name="40% - Accent1 5 2 10 2" xfId="10371" xr:uid="{00000000-0005-0000-0000-000093180000}"/>
    <cellStyle name="40% - Accent1 5 2 10 3" xfId="10372" xr:uid="{00000000-0005-0000-0000-000094180000}"/>
    <cellStyle name="40% - Accent1 5 2 11" xfId="10373" xr:uid="{00000000-0005-0000-0000-000095180000}"/>
    <cellStyle name="40% - Accent1 5 2 11 2" xfId="10374" xr:uid="{00000000-0005-0000-0000-000096180000}"/>
    <cellStyle name="40% - Accent1 5 2 11 3" xfId="10375" xr:uid="{00000000-0005-0000-0000-000097180000}"/>
    <cellStyle name="40% - Accent1 5 2 12" xfId="10376" xr:uid="{00000000-0005-0000-0000-000098180000}"/>
    <cellStyle name="40% - Accent1 5 2 12 2" xfId="10377" xr:uid="{00000000-0005-0000-0000-000099180000}"/>
    <cellStyle name="40% - Accent1 5 2 12 3" xfId="10378" xr:uid="{00000000-0005-0000-0000-00009A180000}"/>
    <cellStyle name="40% - Accent1 5 2 13" xfId="10379" xr:uid="{00000000-0005-0000-0000-00009B180000}"/>
    <cellStyle name="40% - Accent1 5 2 14" xfId="10380" xr:uid="{00000000-0005-0000-0000-00009C180000}"/>
    <cellStyle name="40% - Accent1 5 2 15" xfId="10381" xr:uid="{00000000-0005-0000-0000-00009D180000}"/>
    <cellStyle name="40% - Accent1 5 2 2" xfId="10382" xr:uid="{00000000-0005-0000-0000-00009E180000}"/>
    <cellStyle name="40% - Accent1 5 2 2 2" xfId="10383" xr:uid="{00000000-0005-0000-0000-00009F180000}"/>
    <cellStyle name="40% - Accent1 5 2 2 3" xfId="10384" xr:uid="{00000000-0005-0000-0000-0000A0180000}"/>
    <cellStyle name="40% - Accent1 5 2 3" xfId="10385" xr:uid="{00000000-0005-0000-0000-0000A1180000}"/>
    <cellStyle name="40% - Accent1 5 2 3 2" xfId="10386" xr:uid="{00000000-0005-0000-0000-0000A2180000}"/>
    <cellStyle name="40% - Accent1 5 2 3 3" xfId="10387" xr:uid="{00000000-0005-0000-0000-0000A3180000}"/>
    <cellStyle name="40% - Accent1 5 2 4" xfId="10388" xr:uid="{00000000-0005-0000-0000-0000A4180000}"/>
    <cellStyle name="40% - Accent1 5 2 4 2" xfId="10389" xr:uid="{00000000-0005-0000-0000-0000A5180000}"/>
    <cellStyle name="40% - Accent1 5 2 4 3" xfId="10390" xr:uid="{00000000-0005-0000-0000-0000A6180000}"/>
    <cellStyle name="40% - Accent1 5 2 5" xfId="10391" xr:uid="{00000000-0005-0000-0000-0000A7180000}"/>
    <cellStyle name="40% - Accent1 5 2 5 2" xfId="10392" xr:uid="{00000000-0005-0000-0000-0000A8180000}"/>
    <cellStyle name="40% - Accent1 5 2 5 3" xfId="10393" xr:uid="{00000000-0005-0000-0000-0000A9180000}"/>
    <cellStyle name="40% - Accent1 5 2 6" xfId="10394" xr:uid="{00000000-0005-0000-0000-0000AA180000}"/>
    <cellStyle name="40% - Accent1 5 2 6 2" xfId="10395" xr:uid="{00000000-0005-0000-0000-0000AB180000}"/>
    <cellStyle name="40% - Accent1 5 2 6 3" xfId="10396" xr:uid="{00000000-0005-0000-0000-0000AC180000}"/>
    <cellStyle name="40% - Accent1 5 2 7" xfId="10397" xr:uid="{00000000-0005-0000-0000-0000AD180000}"/>
    <cellStyle name="40% - Accent1 5 2 7 2" xfId="10398" xr:uid="{00000000-0005-0000-0000-0000AE180000}"/>
    <cellStyle name="40% - Accent1 5 2 7 3" xfId="10399" xr:uid="{00000000-0005-0000-0000-0000AF180000}"/>
    <cellStyle name="40% - Accent1 5 2 8" xfId="10400" xr:uid="{00000000-0005-0000-0000-0000B0180000}"/>
    <cellStyle name="40% - Accent1 5 2 8 2" xfId="10401" xr:uid="{00000000-0005-0000-0000-0000B1180000}"/>
    <cellStyle name="40% - Accent1 5 2 8 3" xfId="10402" xr:uid="{00000000-0005-0000-0000-0000B2180000}"/>
    <cellStyle name="40% - Accent1 5 2 9" xfId="10403" xr:uid="{00000000-0005-0000-0000-0000B3180000}"/>
    <cellStyle name="40% - Accent1 5 2 9 2" xfId="10404" xr:uid="{00000000-0005-0000-0000-0000B4180000}"/>
    <cellStyle name="40% - Accent1 5 2 9 3" xfId="10405" xr:uid="{00000000-0005-0000-0000-0000B5180000}"/>
    <cellStyle name="40% - Accent1 5 3" xfId="2237" xr:uid="{00000000-0005-0000-0000-0000B6180000}"/>
    <cellStyle name="40% - Accent1 5 3 2" xfId="10406" xr:uid="{00000000-0005-0000-0000-0000B7180000}"/>
    <cellStyle name="40% - Accent1 5 3 3" xfId="10407" xr:uid="{00000000-0005-0000-0000-0000B8180000}"/>
    <cellStyle name="40% - Accent1 5 3 4" xfId="10408" xr:uid="{00000000-0005-0000-0000-0000B9180000}"/>
    <cellStyle name="40% - Accent1 5 4" xfId="2611" xr:uid="{00000000-0005-0000-0000-0000BA180000}"/>
    <cellStyle name="40% - Accent1 5 4 2" xfId="10409" xr:uid="{00000000-0005-0000-0000-0000BB180000}"/>
    <cellStyle name="40% - Accent1 5 4 3" xfId="10410" xr:uid="{00000000-0005-0000-0000-0000BC180000}"/>
    <cellStyle name="40% - Accent1 5 4 4" xfId="10411" xr:uid="{00000000-0005-0000-0000-0000BD180000}"/>
    <cellStyle name="40% - Accent1 5 5" xfId="2983" xr:uid="{00000000-0005-0000-0000-0000BE180000}"/>
    <cellStyle name="40% - Accent1 5 5 2" xfId="10412" xr:uid="{00000000-0005-0000-0000-0000BF180000}"/>
    <cellStyle name="40% - Accent1 5 5 3" xfId="10413" xr:uid="{00000000-0005-0000-0000-0000C0180000}"/>
    <cellStyle name="40% - Accent1 5 5 4" xfId="10414" xr:uid="{00000000-0005-0000-0000-0000C1180000}"/>
    <cellStyle name="40% - Accent1 5 6" xfId="3355" xr:uid="{00000000-0005-0000-0000-0000C2180000}"/>
    <cellStyle name="40% - Accent1 5 6 2" xfId="10415" xr:uid="{00000000-0005-0000-0000-0000C3180000}"/>
    <cellStyle name="40% - Accent1 5 6 3" xfId="10416" xr:uid="{00000000-0005-0000-0000-0000C4180000}"/>
    <cellStyle name="40% - Accent1 5 6 4" xfId="10417" xr:uid="{00000000-0005-0000-0000-0000C5180000}"/>
    <cellStyle name="40% - Accent1 5 7" xfId="4477" xr:uid="{00000000-0005-0000-0000-0000C6180000}"/>
    <cellStyle name="40% - Accent1 5 7 2" xfId="10419" xr:uid="{00000000-0005-0000-0000-0000C7180000}"/>
    <cellStyle name="40% - Accent1 5 7 3" xfId="10420" xr:uid="{00000000-0005-0000-0000-0000C8180000}"/>
    <cellStyle name="40% - Accent1 5 7 4" xfId="10418" xr:uid="{00000000-0005-0000-0000-0000C9180000}"/>
    <cellStyle name="40% - Accent1 5 8" xfId="10421" xr:uid="{00000000-0005-0000-0000-0000CA180000}"/>
    <cellStyle name="40% - Accent1 5 8 2" xfId="10422" xr:uid="{00000000-0005-0000-0000-0000CB180000}"/>
    <cellStyle name="40% - Accent1 5 8 3" xfId="10423" xr:uid="{00000000-0005-0000-0000-0000CC180000}"/>
    <cellStyle name="40% - Accent1 5 9" xfId="10424" xr:uid="{00000000-0005-0000-0000-0000CD180000}"/>
    <cellStyle name="40% - Accent1 5 9 2" xfId="10425" xr:uid="{00000000-0005-0000-0000-0000CE180000}"/>
    <cellStyle name="40% - Accent1 5 9 3" xfId="10426" xr:uid="{00000000-0005-0000-0000-0000CF180000}"/>
    <cellStyle name="40% - Accent1 6" xfId="384" xr:uid="{00000000-0005-0000-0000-0000D0180000}"/>
    <cellStyle name="40% - Accent1 6 10" xfId="5380" xr:uid="{00000000-0005-0000-0000-0000D1180000}"/>
    <cellStyle name="40% - Accent1 6 10 2" xfId="6229" xr:uid="{00000000-0005-0000-0000-0000D2180000}"/>
    <cellStyle name="40% - Accent1 6 10 2 2" xfId="10429" xr:uid="{00000000-0005-0000-0000-0000D3180000}"/>
    <cellStyle name="40% - Accent1 6 10 2 3" xfId="26187" xr:uid="{00000000-0005-0000-0000-0000D4180000}"/>
    <cellStyle name="40% - Accent1 6 10 3" xfId="10430" xr:uid="{00000000-0005-0000-0000-0000D5180000}"/>
    <cellStyle name="40% - Accent1 6 10 4" xfId="10428" xr:uid="{00000000-0005-0000-0000-0000D6180000}"/>
    <cellStyle name="40% - Accent1 6 10 5" xfId="26186" xr:uid="{00000000-0005-0000-0000-0000D7180000}"/>
    <cellStyle name="40% - Accent1 6 11" xfId="5690" xr:uid="{00000000-0005-0000-0000-0000D8180000}"/>
    <cellStyle name="40% - Accent1 6 11 2" xfId="6230" xr:uid="{00000000-0005-0000-0000-0000D9180000}"/>
    <cellStyle name="40% - Accent1 6 11 2 2" xfId="10432" xr:uid="{00000000-0005-0000-0000-0000DA180000}"/>
    <cellStyle name="40% - Accent1 6 11 2 3" xfId="26189" xr:uid="{00000000-0005-0000-0000-0000DB180000}"/>
    <cellStyle name="40% - Accent1 6 11 3" xfId="10433" xr:uid="{00000000-0005-0000-0000-0000DC180000}"/>
    <cellStyle name="40% - Accent1 6 11 4" xfId="10431" xr:uid="{00000000-0005-0000-0000-0000DD180000}"/>
    <cellStyle name="40% - Accent1 6 11 5" xfId="26188" xr:uid="{00000000-0005-0000-0000-0000DE180000}"/>
    <cellStyle name="40% - Accent1 6 12" xfId="4478" xr:uid="{00000000-0005-0000-0000-0000DF180000}"/>
    <cellStyle name="40% - Accent1 6 12 2" xfId="6231" xr:uid="{00000000-0005-0000-0000-0000E0180000}"/>
    <cellStyle name="40% - Accent1 6 12 2 2" xfId="10435" xr:uid="{00000000-0005-0000-0000-0000E1180000}"/>
    <cellStyle name="40% - Accent1 6 12 2 3" xfId="26191" xr:uid="{00000000-0005-0000-0000-0000E2180000}"/>
    <cellStyle name="40% - Accent1 6 12 3" xfId="10436" xr:uid="{00000000-0005-0000-0000-0000E3180000}"/>
    <cellStyle name="40% - Accent1 6 12 4" xfId="10434" xr:uid="{00000000-0005-0000-0000-0000E4180000}"/>
    <cellStyle name="40% - Accent1 6 12 5" xfId="26190" xr:uid="{00000000-0005-0000-0000-0000E5180000}"/>
    <cellStyle name="40% - Accent1 6 13" xfId="6228" xr:uid="{00000000-0005-0000-0000-0000E6180000}"/>
    <cellStyle name="40% - Accent1 6 13 2" xfId="10437" xr:uid="{00000000-0005-0000-0000-0000E7180000}"/>
    <cellStyle name="40% - Accent1 6 13 3" xfId="26192" xr:uid="{00000000-0005-0000-0000-0000E8180000}"/>
    <cellStyle name="40% - Accent1 6 14" xfId="10438" xr:uid="{00000000-0005-0000-0000-0000E9180000}"/>
    <cellStyle name="40% - Accent1 6 15" xfId="10439" xr:uid="{00000000-0005-0000-0000-0000EA180000}"/>
    <cellStyle name="40% - Accent1 6 16" xfId="10440" xr:uid="{00000000-0005-0000-0000-0000EB180000}"/>
    <cellStyle name="40% - Accent1 6 16 2" xfId="10441" xr:uid="{00000000-0005-0000-0000-0000EC180000}"/>
    <cellStyle name="40% - Accent1 6 16 2 2" xfId="26194" xr:uid="{00000000-0005-0000-0000-0000ED180000}"/>
    <cellStyle name="40% - Accent1 6 16 2 3" xfId="28654" xr:uid="{00000000-0005-0000-0000-0000EE180000}"/>
    <cellStyle name="40% - Accent1 6 16 3" xfId="10442" xr:uid="{00000000-0005-0000-0000-0000EF180000}"/>
    <cellStyle name="40% - Accent1 6 16 3 2" xfId="26195" xr:uid="{00000000-0005-0000-0000-0000F0180000}"/>
    <cellStyle name="40% - Accent1 6 16 3 3" xfId="28655" xr:uid="{00000000-0005-0000-0000-0000F1180000}"/>
    <cellStyle name="40% - Accent1 6 16 4" xfId="26193" xr:uid="{00000000-0005-0000-0000-0000F2180000}"/>
    <cellStyle name="40% - Accent1 6 16 5" xfId="28653" xr:uid="{00000000-0005-0000-0000-0000F3180000}"/>
    <cellStyle name="40% - Accent1 6 17" xfId="10443" xr:uid="{00000000-0005-0000-0000-0000F4180000}"/>
    <cellStyle name="40% - Accent1 6 17 2" xfId="26196" xr:uid="{00000000-0005-0000-0000-0000F5180000}"/>
    <cellStyle name="40% - Accent1 6 17 3" xfId="28656" xr:uid="{00000000-0005-0000-0000-0000F6180000}"/>
    <cellStyle name="40% - Accent1 6 18" xfId="10444" xr:uid="{00000000-0005-0000-0000-0000F7180000}"/>
    <cellStyle name="40% - Accent1 6 18 2" xfId="26197" xr:uid="{00000000-0005-0000-0000-0000F8180000}"/>
    <cellStyle name="40% - Accent1 6 18 3" xfId="28657" xr:uid="{00000000-0005-0000-0000-0000F9180000}"/>
    <cellStyle name="40% - Accent1 6 19" xfId="10427" xr:uid="{00000000-0005-0000-0000-0000FA180000}"/>
    <cellStyle name="40% - Accent1 6 19 2" xfId="26198" xr:uid="{00000000-0005-0000-0000-0000FB180000}"/>
    <cellStyle name="40% - Accent1 6 2" xfId="1975" xr:uid="{00000000-0005-0000-0000-0000FC180000}"/>
    <cellStyle name="40% - Accent1 6 2 2" xfId="4479" xr:uid="{00000000-0005-0000-0000-0000FD180000}"/>
    <cellStyle name="40% - Accent1 6 2 2 2" xfId="10445" xr:uid="{00000000-0005-0000-0000-0000FE180000}"/>
    <cellStyle name="40% - Accent1 6 2 3" xfId="10446" xr:uid="{00000000-0005-0000-0000-0000FF180000}"/>
    <cellStyle name="40% - Accent1 6 2 4" xfId="10447" xr:uid="{00000000-0005-0000-0000-000000190000}"/>
    <cellStyle name="40% - Accent1 6 2 5" xfId="10448" xr:uid="{00000000-0005-0000-0000-000001190000}"/>
    <cellStyle name="40% - Accent1 6 20" xfId="24837" xr:uid="{00000000-0005-0000-0000-000002190000}"/>
    <cellStyle name="40% - Accent1 6 21" xfId="26185" xr:uid="{00000000-0005-0000-0000-000003190000}"/>
    <cellStyle name="40% - Accent1 6 22" xfId="28652" xr:uid="{00000000-0005-0000-0000-000004190000}"/>
    <cellStyle name="40% - Accent1 6 3" xfId="2350" xr:uid="{00000000-0005-0000-0000-000005190000}"/>
    <cellStyle name="40% - Accent1 6 3 2" xfId="4480" xr:uid="{00000000-0005-0000-0000-000006190000}"/>
    <cellStyle name="40% - Accent1 6 3 2 2" xfId="10449" xr:uid="{00000000-0005-0000-0000-000007190000}"/>
    <cellStyle name="40% - Accent1 6 3 3" xfId="10450" xr:uid="{00000000-0005-0000-0000-000008190000}"/>
    <cellStyle name="40% - Accent1 6 3 4" xfId="10451" xr:uid="{00000000-0005-0000-0000-000009190000}"/>
    <cellStyle name="40% - Accent1 6 3 5" xfId="10452" xr:uid="{00000000-0005-0000-0000-00000A190000}"/>
    <cellStyle name="40% - Accent1 6 4" xfId="2723" xr:uid="{00000000-0005-0000-0000-00000B190000}"/>
    <cellStyle name="40% - Accent1 6 4 2" xfId="4481" xr:uid="{00000000-0005-0000-0000-00000C190000}"/>
    <cellStyle name="40% - Accent1 6 4 2 2" xfId="10453" xr:uid="{00000000-0005-0000-0000-00000D190000}"/>
    <cellStyle name="40% - Accent1 6 4 3" xfId="10454" xr:uid="{00000000-0005-0000-0000-00000E190000}"/>
    <cellStyle name="40% - Accent1 6 4 4" xfId="10455" xr:uid="{00000000-0005-0000-0000-00000F190000}"/>
    <cellStyle name="40% - Accent1 6 4 5" xfId="10456" xr:uid="{00000000-0005-0000-0000-000010190000}"/>
    <cellStyle name="40% - Accent1 6 5" xfId="3096" xr:uid="{00000000-0005-0000-0000-000011190000}"/>
    <cellStyle name="40% - Accent1 6 5 2" xfId="4482" xr:uid="{00000000-0005-0000-0000-000012190000}"/>
    <cellStyle name="40% - Accent1 6 5 2 2" xfId="10457" xr:uid="{00000000-0005-0000-0000-000013190000}"/>
    <cellStyle name="40% - Accent1 6 5 3" xfId="10458" xr:uid="{00000000-0005-0000-0000-000014190000}"/>
    <cellStyle name="40% - Accent1 6 5 4" xfId="10459" xr:uid="{00000000-0005-0000-0000-000015190000}"/>
    <cellStyle name="40% - Accent1 6 5 5" xfId="10460" xr:uid="{00000000-0005-0000-0000-000016190000}"/>
    <cellStyle name="40% - Accent1 6 6" xfId="3467" xr:uid="{00000000-0005-0000-0000-000017190000}"/>
    <cellStyle name="40% - Accent1 6 6 2" xfId="4483" xr:uid="{00000000-0005-0000-0000-000018190000}"/>
    <cellStyle name="40% - Accent1 6 6 2 2" xfId="10461" xr:uid="{00000000-0005-0000-0000-000019190000}"/>
    <cellStyle name="40% - Accent1 6 6 3" xfId="10462" xr:uid="{00000000-0005-0000-0000-00001A190000}"/>
    <cellStyle name="40% - Accent1 6 6 4" xfId="10463" xr:uid="{00000000-0005-0000-0000-00001B190000}"/>
    <cellStyle name="40% - Accent1 6 6 5" xfId="10464" xr:uid="{00000000-0005-0000-0000-00001C190000}"/>
    <cellStyle name="40% - Accent1 6 7" xfId="3773" xr:uid="{00000000-0005-0000-0000-00001D190000}"/>
    <cellStyle name="40% - Accent1 6 7 2" xfId="4484" xr:uid="{00000000-0005-0000-0000-00001E190000}"/>
    <cellStyle name="40% - Accent1 6 7 2 2" xfId="10465" xr:uid="{00000000-0005-0000-0000-00001F190000}"/>
    <cellStyle name="40% - Accent1 6 7 3" xfId="10466" xr:uid="{00000000-0005-0000-0000-000020190000}"/>
    <cellStyle name="40% - Accent1 6 7 4" xfId="10467" xr:uid="{00000000-0005-0000-0000-000021190000}"/>
    <cellStyle name="40% - Accent1 6 7 5" xfId="10468" xr:uid="{00000000-0005-0000-0000-000022190000}"/>
    <cellStyle name="40% - Accent1 6 8" xfId="1356" xr:uid="{00000000-0005-0000-0000-000023190000}"/>
    <cellStyle name="40% - Accent1 6 8 10" xfId="26199" xr:uid="{00000000-0005-0000-0000-000024190000}"/>
    <cellStyle name="40% - Accent1 6 8 11" xfId="28658" xr:uid="{00000000-0005-0000-0000-000025190000}"/>
    <cellStyle name="40% - Accent1 6 8 2" xfId="4156" xr:uid="{00000000-0005-0000-0000-000026190000}"/>
    <cellStyle name="40% - Accent1 6 8 2 2" xfId="5382" xr:uid="{00000000-0005-0000-0000-000027190000}"/>
    <cellStyle name="40% - Accent1 6 8 2 2 2" xfId="6234" xr:uid="{00000000-0005-0000-0000-000028190000}"/>
    <cellStyle name="40% - Accent1 6 8 2 2 2 2" xfId="26202" xr:uid="{00000000-0005-0000-0000-000029190000}"/>
    <cellStyle name="40% - Accent1 6 8 2 2 3" xfId="10471" xr:uid="{00000000-0005-0000-0000-00002A190000}"/>
    <cellStyle name="40% - Accent1 6 8 2 2 4" xfId="26201" xr:uid="{00000000-0005-0000-0000-00002B190000}"/>
    <cellStyle name="40% - Accent1 6 8 2 3" xfId="5692" xr:uid="{00000000-0005-0000-0000-00002C190000}"/>
    <cellStyle name="40% - Accent1 6 8 2 3 2" xfId="6235" xr:uid="{00000000-0005-0000-0000-00002D190000}"/>
    <cellStyle name="40% - Accent1 6 8 2 3 2 2" xfId="26204" xr:uid="{00000000-0005-0000-0000-00002E190000}"/>
    <cellStyle name="40% - Accent1 6 8 2 3 3" xfId="26203" xr:uid="{00000000-0005-0000-0000-00002F190000}"/>
    <cellStyle name="40% - Accent1 6 8 2 4" xfId="4486" xr:uid="{00000000-0005-0000-0000-000030190000}"/>
    <cellStyle name="40% - Accent1 6 8 2 4 2" xfId="6236" xr:uid="{00000000-0005-0000-0000-000031190000}"/>
    <cellStyle name="40% - Accent1 6 8 2 4 2 2" xfId="26206" xr:uid="{00000000-0005-0000-0000-000032190000}"/>
    <cellStyle name="40% - Accent1 6 8 2 4 3" xfId="26205" xr:uid="{00000000-0005-0000-0000-000033190000}"/>
    <cellStyle name="40% - Accent1 6 8 2 5" xfId="6233" xr:uid="{00000000-0005-0000-0000-000034190000}"/>
    <cellStyle name="40% - Accent1 6 8 2 5 2" xfId="26207" xr:uid="{00000000-0005-0000-0000-000035190000}"/>
    <cellStyle name="40% - Accent1 6 8 2 6" xfId="10470" xr:uid="{00000000-0005-0000-0000-000036190000}"/>
    <cellStyle name="40% - Accent1 6 8 2 6 2" xfId="26208" xr:uid="{00000000-0005-0000-0000-000037190000}"/>
    <cellStyle name="40% - Accent1 6 8 2 7" xfId="25008" xr:uid="{00000000-0005-0000-0000-000038190000}"/>
    <cellStyle name="40% - Accent1 6 8 2 8" xfId="26200" xr:uid="{00000000-0005-0000-0000-000039190000}"/>
    <cellStyle name="40% - Accent1 6 8 2 9" xfId="28659" xr:uid="{00000000-0005-0000-0000-00003A190000}"/>
    <cellStyle name="40% - Accent1 6 8 3" xfId="5381" xr:uid="{00000000-0005-0000-0000-00003B190000}"/>
    <cellStyle name="40% - Accent1 6 8 3 2" xfId="6237" xr:uid="{00000000-0005-0000-0000-00003C190000}"/>
    <cellStyle name="40% - Accent1 6 8 3 2 2" xfId="26210" xr:uid="{00000000-0005-0000-0000-00003D190000}"/>
    <cellStyle name="40% - Accent1 6 8 3 3" xfId="10472" xr:uid="{00000000-0005-0000-0000-00003E190000}"/>
    <cellStyle name="40% - Accent1 6 8 3 4" xfId="26209" xr:uid="{00000000-0005-0000-0000-00003F190000}"/>
    <cellStyle name="40% - Accent1 6 8 4" xfId="5691" xr:uid="{00000000-0005-0000-0000-000040190000}"/>
    <cellStyle name="40% - Accent1 6 8 4 2" xfId="6238" xr:uid="{00000000-0005-0000-0000-000041190000}"/>
    <cellStyle name="40% - Accent1 6 8 4 2 2" xfId="26212" xr:uid="{00000000-0005-0000-0000-000042190000}"/>
    <cellStyle name="40% - Accent1 6 8 4 3" xfId="10473" xr:uid="{00000000-0005-0000-0000-000043190000}"/>
    <cellStyle name="40% - Accent1 6 8 4 4" xfId="26211" xr:uid="{00000000-0005-0000-0000-000044190000}"/>
    <cellStyle name="40% - Accent1 6 8 5" xfId="4485" xr:uid="{00000000-0005-0000-0000-000045190000}"/>
    <cellStyle name="40% - Accent1 6 8 5 2" xfId="6239" xr:uid="{00000000-0005-0000-0000-000046190000}"/>
    <cellStyle name="40% - Accent1 6 8 5 2 2" xfId="10475" xr:uid="{00000000-0005-0000-0000-000047190000}"/>
    <cellStyle name="40% - Accent1 6 8 5 2 2 2" xfId="26215" xr:uid="{00000000-0005-0000-0000-000048190000}"/>
    <cellStyle name="40% - Accent1 6 8 5 2 3" xfId="26214" xr:uid="{00000000-0005-0000-0000-000049190000}"/>
    <cellStyle name="40% - Accent1 6 8 5 2 4" xfId="28661" xr:uid="{00000000-0005-0000-0000-00004A190000}"/>
    <cellStyle name="40% - Accent1 6 8 5 3" xfId="10476" xr:uid="{00000000-0005-0000-0000-00004B190000}"/>
    <cellStyle name="40% - Accent1 6 8 5 3 2" xfId="26216" xr:uid="{00000000-0005-0000-0000-00004C190000}"/>
    <cellStyle name="40% - Accent1 6 8 5 3 3" xfId="28662" xr:uid="{00000000-0005-0000-0000-00004D190000}"/>
    <cellStyle name="40% - Accent1 6 8 5 4" xfId="10474" xr:uid="{00000000-0005-0000-0000-00004E190000}"/>
    <cellStyle name="40% - Accent1 6 8 5 4 2" xfId="26217" xr:uid="{00000000-0005-0000-0000-00004F190000}"/>
    <cellStyle name="40% - Accent1 6 8 5 5" xfId="26213" xr:uid="{00000000-0005-0000-0000-000050190000}"/>
    <cellStyle name="40% - Accent1 6 8 5 6" xfId="28660" xr:uid="{00000000-0005-0000-0000-000051190000}"/>
    <cellStyle name="40% - Accent1 6 8 6" xfId="6232" xr:uid="{00000000-0005-0000-0000-000052190000}"/>
    <cellStyle name="40% - Accent1 6 8 6 2" xfId="10477" xr:uid="{00000000-0005-0000-0000-000053190000}"/>
    <cellStyle name="40% - Accent1 6 8 6 2 2" xfId="26219" xr:uid="{00000000-0005-0000-0000-000054190000}"/>
    <cellStyle name="40% - Accent1 6 8 6 3" xfId="26218" xr:uid="{00000000-0005-0000-0000-000055190000}"/>
    <cellStyle name="40% - Accent1 6 8 6 4" xfId="28663" xr:uid="{00000000-0005-0000-0000-000056190000}"/>
    <cellStyle name="40% - Accent1 6 8 7" xfId="10478" xr:uid="{00000000-0005-0000-0000-000057190000}"/>
    <cellStyle name="40% - Accent1 6 8 7 2" xfId="26220" xr:uid="{00000000-0005-0000-0000-000058190000}"/>
    <cellStyle name="40% - Accent1 6 8 7 3" xfId="28664" xr:uid="{00000000-0005-0000-0000-000059190000}"/>
    <cellStyle name="40% - Accent1 6 8 8" xfId="10469" xr:uid="{00000000-0005-0000-0000-00005A190000}"/>
    <cellStyle name="40% - Accent1 6 8 8 2" xfId="26221" xr:uid="{00000000-0005-0000-0000-00005B190000}"/>
    <cellStyle name="40% - Accent1 6 8 9" xfId="24888" xr:uid="{00000000-0005-0000-0000-00005C190000}"/>
    <cellStyle name="40% - Accent1 6 9" xfId="3823" xr:uid="{00000000-0005-0000-0000-00005D190000}"/>
    <cellStyle name="40% - Accent1 6 9 2" xfId="5383" xr:uid="{00000000-0005-0000-0000-00005E190000}"/>
    <cellStyle name="40% - Accent1 6 9 2 2" xfId="6241" xr:uid="{00000000-0005-0000-0000-00005F190000}"/>
    <cellStyle name="40% - Accent1 6 9 2 2 2" xfId="26224" xr:uid="{00000000-0005-0000-0000-000060190000}"/>
    <cellStyle name="40% - Accent1 6 9 2 3" xfId="10480" xr:uid="{00000000-0005-0000-0000-000061190000}"/>
    <cellStyle name="40% - Accent1 6 9 2 4" xfId="26223" xr:uid="{00000000-0005-0000-0000-000062190000}"/>
    <cellStyle name="40% - Accent1 6 9 3" xfId="5693" xr:uid="{00000000-0005-0000-0000-000063190000}"/>
    <cellStyle name="40% - Accent1 6 9 3 2" xfId="6242" xr:uid="{00000000-0005-0000-0000-000064190000}"/>
    <cellStyle name="40% - Accent1 6 9 3 2 2" xfId="26226" xr:uid="{00000000-0005-0000-0000-000065190000}"/>
    <cellStyle name="40% - Accent1 6 9 3 3" xfId="10481" xr:uid="{00000000-0005-0000-0000-000066190000}"/>
    <cellStyle name="40% - Accent1 6 9 3 4" xfId="26225" xr:uid="{00000000-0005-0000-0000-000067190000}"/>
    <cellStyle name="40% - Accent1 6 9 4" xfId="4487" xr:uid="{00000000-0005-0000-0000-000068190000}"/>
    <cellStyle name="40% - Accent1 6 9 4 2" xfId="6243" xr:uid="{00000000-0005-0000-0000-000069190000}"/>
    <cellStyle name="40% - Accent1 6 9 4 2 2" xfId="26228" xr:uid="{00000000-0005-0000-0000-00006A190000}"/>
    <cellStyle name="40% - Accent1 6 9 4 3" xfId="10482" xr:uid="{00000000-0005-0000-0000-00006B190000}"/>
    <cellStyle name="40% - Accent1 6 9 4 4" xfId="26227" xr:uid="{00000000-0005-0000-0000-00006C190000}"/>
    <cellStyle name="40% - Accent1 6 9 5" xfId="6240" xr:uid="{00000000-0005-0000-0000-00006D190000}"/>
    <cellStyle name="40% - Accent1 6 9 5 2" xfId="26229" xr:uid="{00000000-0005-0000-0000-00006E190000}"/>
    <cellStyle name="40% - Accent1 6 9 6" xfId="10479" xr:uid="{00000000-0005-0000-0000-00006F190000}"/>
    <cellStyle name="40% - Accent1 6 9 6 2" xfId="26230" xr:uid="{00000000-0005-0000-0000-000070190000}"/>
    <cellStyle name="40% - Accent1 6 9 7" xfId="24959" xr:uid="{00000000-0005-0000-0000-000071190000}"/>
    <cellStyle name="40% - Accent1 6 9 8" xfId="26222" xr:uid="{00000000-0005-0000-0000-000072190000}"/>
    <cellStyle name="40% - Accent1 6 9 9" xfId="28665" xr:uid="{00000000-0005-0000-0000-000073190000}"/>
    <cellStyle name="40% - Accent1 7" xfId="385" xr:uid="{00000000-0005-0000-0000-000074190000}"/>
    <cellStyle name="40% - Accent1 7 10" xfId="10483" xr:uid="{00000000-0005-0000-0000-000075190000}"/>
    <cellStyle name="40% - Accent1 7 10 2" xfId="10484" xr:uid="{00000000-0005-0000-0000-000076190000}"/>
    <cellStyle name="40% - Accent1 7 10 3" xfId="10485" xr:uid="{00000000-0005-0000-0000-000077190000}"/>
    <cellStyle name="40% - Accent1 7 11" xfId="10486" xr:uid="{00000000-0005-0000-0000-000078190000}"/>
    <cellStyle name="40% - Accent1 7 11 2" xfId="10487" xr:uid="{00000000-0005-0000-0000-000079190000}"/>
    <cellStyle name="40% - Accent1 7 11 3" xfId="10488" xr:uid="{00000000-0005-0000-0000-00007A190000}"/>
    <cellStyle name="40% - Accent1 7 12" xfId="10489" xr:uid="{00000000-0005-0000-0000-00007B190000}"/>
    <cellStyle name="40% - Accent1 7 12 2" xfId="10490" xr:uid="{00000000-0005-0000-0000-00007C190000}"/>
    <cellStyle name="40% - Accent1 7 12 3" xfId="10491" xr:uid="{00000000-0005-0000-0000-00007D190000}"/>
    <cellStyle name="40% - Accent1 7 13" xfId="10492" xr:uid="{00000000-0005-0000-0000-00007E190000}"/>
    <cellStyle name="40% - Accent1 7 14" xfId="10493" xr:uid="{00000000-0005-0000-0000-00007F190000}"/>
    <cellStyle name="40% - Accent1 7 15" xfId="10494" xr:uid="{00000000-0005-0000-0000-000080190000}"/>
    <cellStyle name="40% - Accent1 7 16" xfId="10495" xr:uid="{00000000-0005-0000-0000-000081190000}"/>
    <cellStyle name="40% - Accent1 7 2" xfId="4488" xr:uid="{00000000-0005-0000-0000-000082190000}"/>
    <cellStyle name="40% - Accent1 7 2 2" xfId="10497" xr:uid="{00000000-0005-0000-0000-000083190000}"/>
    <cellStyle name="40% - Accent1 7 2 3" xfId="10498" xr:uid="{00000000-0005-0000-0000-000084190000}"/>
    <cellStyle name="40% - Accent1 7 2 4" xfId="10496" xr:uid="{00000000-0005-0000-0000-000085190000}"/>
    <cellStyle name="40% - Accent1 7 3" xfId="10499" xr:uid="{00000000-0005-0000-0000-000086190000}"/>
    <cellStyle name="40% - Accent1 7 3 2" xfId="10500" xr:uid="{00000000-0005-0000-0000-000087190000}"/>
    <cellStyle name="40% - Accent1 7 3 3" xfId="10501" xr:uid="{00000000-0005-0000-0000-000088190000}"/>
    <cellStyle name="40% - Accent1 7 4" xfId="10502" xr:uid="{00000000-0005-0000-0000-000089190000}"/>
    <cellStyle name="40% - Accent1 7 4 2" xfId="10503" xr:uid="{00000000-0005-0000-0000-00008A190000}"/>
    <cellStyle name="40% - Accent1 7 4 3" xfId="10504" xr:uid="{00000000-0005-0000-0000-00008B190000}"/>
    <cellStyle name="40% - Accent1 7 5" xfId="10505" xr:uid="{00000000-0005-0000-0000-00008C190000}"/>
    <cellStyle name="40% - Accent1 7 5 2" xfId="10506" xr:uid="{00000000-0005-0000-0000-00008D190000}"/>
    <cellStyle name="40% - Accent1 7 5 3" xfId="10507" xr:uid="{00000000-0005-0000-0000-00008E190000}"/>
    <cellStyle name="40% - Accent1 7 6" xfId="10508" xr:uid="{00000000-0005-0000-0000-00008F190000}"/>
    <cellStyle name="40% - Accent1 7 6 2" xfId="10509" xr:uid="{00000000-0005-0000-0000-000090190000}"/>
    <cellStyle name="40% - Accent1 7 6 3" xfId="10510" xr:uid="{00000000-0005-0000-0000-000091190000}"/>
    <cellStyle name="40% - Accent1 7 7" xfId="10511" xr:uid="{00000000-0005-0000-0000-000092190000}"/>
    <cellStyle name="40% - Accent1 7 7 2" xfId="10512" xr:uid="{00000000-0005-0000-0000-000093190000}"/>
    <cellStyle name="40% - Accent1 7 7 3" xfId="10513" xr:uid="{00000000-0005-0000-0000-000094190000}"/>
    <cellStyle name="40% - Accent1 7 8" xfId="10514" xr:uid="{00000000-0005-0000-0000-000095190000}"/>
    <cellStyle name="40% - Accent1 7 8 2" xfId="10515" xr:uid="{00000000-0005-0000-0000-000096190000}"/>
    <cellStyle name="40% - Accent1 7 8 3" xfId="10516" xr:uid="{00000000-0005-0000-0000-000097190000}"/>
    <cellStyle name="40% - Accent1 7 9" xfId="10517" xr:uid="{00000000-0005-0000-0000-000098190000}"/>
    <cellStyle name="40% - Accent1 7 9 2" xfId="10518" xr:uid="{00000000-0005-0000-0000-000099190000}"/>
    <cellStyle name="40% - Accent1 7 9 3" xfId="10519" xr:uid="{00000000-0005-0000-0000-00009A190000}"/>
    <cellStyle name="40% - Accent1 8" xfId="538" xr:uid="{00000000-0005-0000-0000-00009B190000}"/>
    <cellStyle name="40% - Accent1 8 10" xfId="24851" xr:uid="{00000000-0005-0000-0000-00009C190000}"/>
    <cellStyle name="40% - Accent1 8 11" xfId="26231" xr:uid="{00000000-0005-0000-0000-00009D190000}"/>
    <cellStyle name="40% - Accent1 8 12" xfId="28666" xr:uid="{00000000-0005-0000-0000-00009E190000}"/>
    <cellStyle name="40% - Accent1 8 2" xfId="1373" xr:uid="{00000000-0005-0000-0000-00009F190000}"/>
    <cellStyle name="40% - Accent1 8 2 10" xfId="26232" xr:uid="{00000000-0005-0000-0000-0000A0190000}"/>
    <cellStyle name="40% - Accent1 8 2 11" xfId="28667" xr:uid="{00000000-0005-0000-0000-0000A1190000}"/>
    <cellStyle name="40% - Accent1 8 2 2" xfId="4173" xr:uid="{00000000-0005-0000-0000-0000A2190000}"/>
    <cellStyle name="40% - Accent1 8 2 2 2" xfId="5386" xr:uid="{00000000-0005-0000-0000-0000A3190000}"/>
    <cellStyle name="40% - Accent1 8 2 2 2 2" xfId="6247" xr:uid="{00000000-0005-0000-0000-0000A4190000}"/>
    <cellStyle name="40% - Accent1 8 2 2 2 2 2" xfId="26235" xr:uid="{00000000-0005-0000-0000-0000A5190000}"/>
    <cellStyle name="40% - Accent1 8 2 2 2 3" xfId="10523" xr:uid="{00000000-0005-0000-0000-0000A6190000}"/>
    <cellStyle name="40% - Accent1 8 2 2 2 4" xfId="26234" xr:uid="{00000000-0005-0000-0000-0000A7190000}"/>
    <cellStyle name="40% - Accent1 8 2 2 3" xfId="5696" xr:uid="{00000000-0005-0000-0000-0000A8190000}"/>
    <cellStyle name="40% - Accent1 8 2 2 3 2" xfId="6248" xr:uid="{00000000-0005-0000-0000-0000A9190000}"/>
    <cellStyle name="40% - Accent1 8 2 2 3 2 2" xfId="26237" xr:uid="{00000000-0005-0000-0000-0000AA190000}"/>
    <cellStyle name="40% - Accent1 8 2 2 3 3" xfId="26236" xr:uid="{00000000-0005-0000-0000-0000AB190000}"/>
    <cellStyle name="40% - Accent1 8 2 2 4" xfId="4491" xr:uid="{00000000-0005-0000-0000-0000AC190000}"/>
    <cellStyle name="40% - Accent1 8 2 2 4 2" xfId="6249" xr:uid="{00000000-0005-0000-0000-0000AD190000}"/>
    <cellStyle name="40% - Accent1 8 2 2 4 2 2" xfId="26239" xr:uid="{00000000-0005-0000-0000-0000AE190000}"/>
    <cellStyle name="40% - Accent1 8 2 2 4 3" xfId="26238" xr:uid="{00000000-0005-0000-0000-0000AF190000}"/>
    <cellStyle name="40% - Accent1 8 2 2 5" xfId="6246" xr:uid="{00000000-0005-0000-0000-0000B0190000}"/>
    <cellStyle name="40% - Accent1 8 2 2 5 2" xfId="26240" xr:uid="{00000000-0005-0000-0000-0000B1190000}"/>
    <cellStyle name="40% - Accent1 8 2 2 6" xfId="10522" xr:uid="{00000000-0005-0000-0000-0000B2190000}"/>
    <cellStyle name="40% - Accent1 8 2 2 6 2" xfId="26241" xr:uid="{00000000-0005-0000-0000-0000B3190000}"/>
    <cellStyle name="40% - Accent1 8 2 2 7" xfId="25025" xr:uid="{00000000-0005-0000-0000-0000B4190000}"/>
    <cellStyle name="40% - Accent1 8 2 2 8" xfId="26233" xr:uid="{00000000-0005-0000-0000-0000B5190000}"/>
    <cellStyle name="40% - Accent1 8 2 2 9" xfId="28668" xr:uid="{00000000-0005-0000-0000-0000B6190000}"/>
    <cellStyle name="40% - Accent1 8 2 3" xfId="5385" xr:uid="{00000000-0005-0000-0000-0000B7190000}"/>
    <cellStyle name="40% - Accent1 8 2 3 2" xfId="6250" xr:uid="{00000000-0005-0000-0000-0000B8190000}"/>
    <cellStyle name="40% - Accent1 8 2 3 2 2" xfId="26243" xr:uid="{00000000-0005-0000-0000-0000B9190000}"/>
    <cellStyle name="40% - Accent1 8 2 3 3" xfId="10524" xr:uid="{00000000-0005-0000-0000-0000BA190000}"/>
    <cellStyle name="40% - Accent1 8 2 3 4" xfId="26242" xr:uid="{00000000-0005-0000-0000-0000BB190000}"/>
    <cellStyle name="40% - Accent1 8 2 4" xfId="5695" xr:uid="{00000000-0005-0000-0000-0000BC190000}"/>
    <cellStyle name="40% - Accent1 8 2 4 2" xfId="6251" xr:uid="{00000000-0005-0000-0000-0000BD190000}"/>
    <cellStyle name="40% - Accent1 8 2 4 2 2" xfId="26245" xr:uid="{00000000-0005-0000-0000-0000BE190000}"/>
    <cellStyle name="40% - Accent1 8 2 4 3" xfId="10525" xr:uid="{00000000-0005-0000-0000-0000BF190000}"/>
    <cellStyle name="40% - Accent1 8 2 4 4" xfId="26244" xr:uid="{00000000-0005-0000-0000-0000C0190000}"/>
    <cellStyle name="40% - Accent1 8 2 5" xfId="4490" xr:uid="{00000000-0005-0000-0000-0000C1190000}"/>
    <cellStyle name="40% - Accent1 8 2 5 2" xfId="6252" xr:uid="{00000000-0005-0000-0000-0000C2190000}"/>
    <cellStyle name="40% - Accent1 8 2 5 2 2" xfId="10527" xr:uid="{00000000-0005-0000-0000-0000C3190000}"/>
    <cellStyle name="40% - Accent1 8 2 5 2 2 2" xfId="26248" xr:uid="{00000000-0005-0000-0000-0000C4190000}"/>
    <cellStyle name="40% - Accent1 8 2 5 2 3" xfId="26247" xr:uid="{00000000-0005-0000-0000-0000C5190000}"/>
    <cellStyle name="40% - Accent1 8 2 5 2 4" xfId="28670" xr:uid="{00000000-0005-0000-0000-0000C6190000}"/>
    <cellStyle name="40% - Accent1 8 2 5 3" xfId="10528" xr:uid="{00000000-0005-0000-0000-0000C7190000}"/>
    <cellStyle name="40% - Accent1 8 2 5 3 2" xfId="26249" xr:uid="{00000000-0005-0000-0000-0000C8190000}"/>
    <cellStyle name="40% - Accent1 8 2 5 3 3" xfId="28671" xr:uid="{00000000-0005-0000-0000-0000C9190000}"/>
    <cellStyle name="40% - Accent1 8 2 5 4" xfId="10526" xr:uid="{00000000-0005-0000-0000-0000CA190000}"/>
    <cellStyle name="40% - Accent1 8 2 5 4 2" xfId="26250" xr:uid="{00000000-0005-0000-0000-0000CB190000}"/>
    <cellStyle name="40% - Accent1 8 2 5 5" xfId="26246" xr:uid="{00000000-0005-0000-0000-0000CC190000}"/>
    <cellStyle name="40% - Accent1 8 2 5 6" xfId="28669" xr:uid="{00000000-0005-0000-0000-0000CD190000}"/>
    <cellStyle name="40% - Accent1 8 2 6" xfId="6245" xr:uid="{00000000-0005-0000-0000-0000CE190000}"/>
    <cellStyle name="40% - Accent1 8 2 6 2" xfId="10529" xr:uid="{00000000-0005-0000-0000-0000CF190000}"/>
    <cellStyle name="40% - Accent1 8 2 6 2 2" xfId="26252" xr:uid="{00000000-0005-0000-0000-0000D0190000}"/>
    <cellStyle name="40% - Accent1 8 2 6 3" xfId="26251" xr:uid="{00000000-0005-0000-0000-0000D1190000}"/>
    <cellStyle name="40% - Accent1 8 2 6 4" xfId="28672" xr:uid="{00000000-0005-0000-0000-0000D2190000}"/>
    <cellStyle name="40% - Accent1 8 2 7" xfId="10530" xr:uid="{00000000-0005-0000-0000-0000D3190000}"/>
    <cellStyle name="40% - Accent1 8 2 7 2" xfId="26253" xr:uid="{00000000-0005-0000-0000-0000D4190000}"/>
    <cellStyle name="40% - Accent1 8 2 7 3" xfId="28673" xr:uid="{00000000-0005-0000-0000-0000D5190000}"/>
    <cellStyle name="40% - Accent1 8 2 8" xfId="10521" xr:uid="{00000000-0005-0000-0000-0000D6190000}"/>
    <cellStyle name="40% - Accent1 8 2 8 2" xfId="26254" xr:uid="{00000000-0005-0000-0000-0000D7190000}"/>
    <cellStyle name="40% - Accent1 8 2 9" xfId="24905" xr:uid="{00000000-0005-0000-0000-0000D8190000}"/>
    <cellStyle name="40% - Accent1 8 3" xfId="3837" xr:uid="{00000000-0005-0000-0000-0000D9190000}"/>
    <cellStyle name="40% - Accent1 8 3 2" xfId="5387" xr:uid="{00000000-0005-0000-0000-0000DA190000}"/>
    <cellStyle name="40% - Accent1 8 3 2 2" xfId="6254" xr:uid="{00000000-0005-0000-0000-0000DB190000}"/>
    <cellStyle name="40% - Accent1 8 3 2 2 2" xfId="26257" xr:uid="{00000000-0005-0000-0000-0000DC190000}"/>
    <cellStyle name="40% - Accent1 8 3 2 3" xfId="10532" xr:uid="{00000000-0005-0000-0000-0000DD190000}"/>
    <cellStyle name="40% - Accent1 8 3 2 4" xfId="26256" xr:uid="{00000000-0005-0000-0000-0000DE190000}"/>
    <cellStyle name="40% - Accent1 8 3 3" xfId="5697" xr:uid="{00000000-0005-0000-0000-0000DF190000}"/>
    <cellStyle name="40% - Accent1 8 3 3 2" xfId="6255" xr:uid="{00000000-0005-0000-0000-0000E0190000}"/>
    <cellStyle name="40% - Accent1 8 3 3 2 2" xfId="26259" xr:uid="{00000000-0005-0000-0000-0000E1190000}"/>
    <cellStyle name="40% - Accent1 8 3 3 3" xfId="26258" xr:uid="{00000000-0005-0000-0000-0000E2190000}"/>
    <cellStyle name="40% - Accent1 8 3 4" xfId="4492" xr:uid="{00000000-0005-0000-0000-0000E3190000}"/>
    <cellStyle name="40% - Accent1 8 3 4 2" xfId="6256" xr:uid="{00000000-0005-0000-0000-0000E4190000}"/>
    <cellStyle name="40% - Accent1 8 3 4 2 2" xfId="26261" xr:uid="{00000000-0005-0000-0000-0000E5190000}"/>
    <cellStyle name="40% - Accent1 8 3 4 3" xfId="26260" xr:uid="{00000000-0005-0000-0000-0000E6190000}"/>
    <cellStyle name="40% - Accent1 8 3 5" xfId="6253" xr:uid="{00000000-0005-0000-0000-0000E7190000}"/>
    <cellStyle name="40% - Accent1 8 3 5 2" xfId="26262" xr:uid="{00000000-0005-0000-0000-0000E8190000}"/>
    <cellStyle name="40% - Accent1 8 3 6" xfId="10531" xr:uid="{00000000-0005-0000-0000-0000E9190000}"/>
    <cellStyle name="40% - Accent1 8 3 6 2" xfId="26263" xr:uid="{00000000-0005-0000-0000-0000EA190000}"/>
    <cellStyle name="40% - Accent1 8 3 7" xfId="24973" xr:uid="{00000000-0005-0000-0000-0000EB190000}"/>
    <cellStyle name="40% - Accent1 8 3 8" xfId="26255" xr:uid="{00000000-0005-0000-0000-0000EC190000}"/>
    <cellStyle name="40% - Accent1 8 3 9" xfId="28674" xr:uid="{00000000-0005-0000-0000-0000ED190000}"/>
    <cellStyle name="40% - Accent1 8 4" xfId="5384" xr:uid="{00000000-0005-0000-0000-0000EE190000}"/>
    <cellStyle name="40% - Accent1 8 4 2" xfId="6257" xr:uid="{00000000-0005-0000-0000-0000EF190000}"/>
    <cellStyle name="40% - Accent1 8 4 2 2" xfId="26265" xr:uid="{00000000-0005-0000-0000-0000F0190000}"/>
    <cellStyle name="40% - Accent1 8 4 3" xfId="10533" xr:uid="{00000000-0005-0000-0000-0000F1190000}"/>
    <cellStyle name="40% - Accent1 8 4 4" xfId="26264" xr:uid="{00000000-0005-0000-0000-0000F2190000}"/>
    <cellStyle name="40% - Accent1 8 5" xfId="5694" xr:uid="{00000000-0005-0000-0000-0000F3190000}"/>
    <cellStyle name="40% - Accent1 8 5 2" xfId="6258" xr:uid="{00000000-0005-0000-0000-0000F4190000}"/>
    <cellStyle name="40% - Accent1 8 5 2 2" xfId="26267" xr:uid="{00000000-0005-0000-0000-0000F5190000}"/>
    <cellStyle name="40% - Accent1 8 5 3" xfId="10534" xr:uid="{00000000-0005-0000-0000-0000F6190000}"/>
    <cellStyle name="40% - Accent1 8 5 4" xfId="26266" xr:uid="{00000000-0005-0000-0000-0000F7190000}"/>
    <cellStyle name="40% - Accent1 8 6" xfId="4489" xr:uid="{00000000-0005-0000-0000-0000F8190000}"/>
    <cellStyle name="40% - Accent1 8 6 2" xfId="6259" xr:uid="{00000000-0005-0000-0000-0000F9190000}"/>
    <cellStyle name="40% - Accent1 8 6 2 2" xfId="10536" xr:uid="{00000000-0005-0000-0000-0000FA190000}"/>
    <cellStyle name="40% - Accent1 8 6 2 2 2" xfId="26270" xr:uid="{00000000-0005-0000-0000-0000FB190000}"/>
    <cellStyle name="40% - Accent1 8 6 2 3" xfId="26269" xr:uid="{00000000-0005-0000-0000-0000FC190000}"/>
    <cellStyle name="40% - Accent1 8 6 2 4" xfId="28676" xr:uid="{00000000-0005-0000-0000-0000FD190000}"/>
    <cellStyle name="40% - Accent1 8 6 3" xfId="10537" xr:uid="{00000000-0005-0000-0000-0000FE190000}"/>
    <cellStyle name="40% - Accent1 8 6 3 2" xfId="26271" xr:uid="{00000000-0005-0000-0000-0000FF190000}"/>
    <cellStyle name="40% - Accent1 8 6 3 3" xfId="28677" xr:uid="{00000000-0005-0000-0000-0000001A0000}"/>
    <cellStyle name="40% - Accent1 8 6 4" xfId="10535" xr:uid="{00000000-0005-0000-0000-0000011A0000}"/>
    <cellStyle name="40% - Accent1 8 6 4 2" xfId="26272" xr:uid="{00000000-0005-0000-0000-0000021A0000}"/>
    <cellStyle name="40% - Accent1 8 6 5" xfId="26268" xr:uid="{00000000-0005-0000-0000-0000031A0000}"/>
    <cellStyle name="40% - Accent1 8 6 6" xfId="28675" xr:uid="{00000000-0005-0000-0000-0000041A0000}"/>
    <cellStyle name="40% - Accent1 8 7" xfId="6244" xr:uid="{00000000-0005-0000-0000-0000051A0000}"/>
    <cellStyle name="40% - Accent1 8 7 2" xfId="10538" xr:uid="{00000000-0005-0000-0000-0000061A0000}"/>
    <cellStyle name="40% - Accent1 8 7 2 2" xfId="26274" xr:uid="{00000000-0005-0000-0000-0000071A0000}"/>
    <cellStyle name="40% - Accent1 8 7 3" xfId="26273" xr:uid="{00000000-0005-0000-0000-0000081A0000}"/>
    <cellStyle name="40% - Accent1 8 7 4" xfId="28678" xr:uid="{00000000-0005-0000-0000-0000091A0000}"/>
    <cellStyle name="40% - Accent1 8 8" xfId="10539" xr:uid="{00000000-0005-0000-0000-00000A1A0000}"/>
    <cellStyle name="40% - Accent1 8 8 2" xfId="26275" xr:uid="{00000000-0005-0000-0000-00000B1A0000}"/>
    <cellStyle name="40% - Accent1 8 8 3" xfId="28679" xr:uid="{00000000-0005-0000-0000-00000C1A0000}"/>
    <cellStyle name="40% - Accent1 8 9" xfId="10520" xr:uid="{00000000-0005-0000-0000-00000D1A0000}"/>
    <cellStyle name="40% - Accent1 8 9 2" xfId="26276" xr:uid="{00000000-0005-0000-0000-00000E1A0000}"/>
    <cellStyle name="40% - Accent1 9" xfId="539" xr:uid="{00000000-0005-0000-0000-00000F1A0000}"/>
    <cellStyle name="40% - Accent1 9 2" xfId="4493" xr:uid="{00000000-0005-0000-0000-0000101A0000}"/>
    <cellStyle name="40% - Accent1 9 2 2" xfId="10541" xr:uid="{00000000-0005-0000-0000-0000111A0000}"/>
    <cellStyle name="40% - Accent1 9 2 3" xfId="10542" xr:uid="{00000000-0005-0000-0000-0000121A0000}"/>
    <cellStyle name="40% - Accent1 9 2 4" xfId="10540" xr:uid="{00000000-0005-0000-0000-0000131A0000}"/>
    <cellStyle name="40% - Accent1 9 3" xfId="10543" xr:uid="{00000000-0005-0000-0000-0000141A0000}"/>
    <cellStyle name="40% - Accent1 9 4" xfId="10544" xr:uid="{00000000-0005-0000-0000-0000151A0000}"/>
    <cellStyle name="40% - Accent1 9 5" xfId="10545" xr:uid="{00000000-0005-0000-0000-0000161A0000}"/>
    <cellStyle name="40% - Accent1 9 6" xfId="10546" xr:uid="{00000000-0005-0000-0000-0000171A0000}"/>
    <cellStyle name="40% - Accent2" xfId="7108" builtinId="35" customBuiltin="1"/>
    <cellStyle name="40% - Accent2 10" xfId="668" xr:uid="{00000000-0005-0000-0000-0000191A0000}"/>
    <cellStyle name="40% - Accent2 10 2" xfId="4494" xr:uid="{00000000-0005-0000-0000-00001A1A0000}"/>
    <cellStyle name="40% - Accent2 10 2 2" xfId="10547" xr:uid="{00000000-0005-0000-0000-00001B1A0000}"/>
    <cellStyle name="40% - Accent2 10 3" xfId="10548" xr:uid="{00000000-0005-0000-0000-00001C1A0000}"/>
    <cellStyle name="40% - Accent2 10 4" xfId="10549" xr:uid="{00000000-0005-0000-0000-00001D1A0000}"/>
    <cellStyle name="40% - Accent2 10 5" xfId="10550" xr:uid="{00000000-0005-0000-0000-00001E1A0000}"/>
    <cellStyle name="40% - Accent2 11" xfId="669" xr:uid="{00000000-0005-0000-0000-00001F1A0000}"/>
    <cellStyle name="40% - Accent2 11 2" xfId="4495" xr:uid="{00000000-0005-0000-0000-0000201A0000}"/>
    <cellStyle name="40% - Accent2 11 2 2" xfId="10551" xr:uid="{00000000-0005-0000-0000-0000211A0000}"/>
    <cellStyle name="40% - Accent2 11 3" xfId="10552" xr:uid="{00000000-0005-0000-0000-0000221A0000}"/>
    <cellStyle name="40% - Accent2 11 4" xfId="10553" xr:uid="{00000000-0005-0000-0000-0000231A0000}"/>
    <cellStyle name="40% - Accent2 11 5" xfId="10554" xr:uid="{00000000-0005-0000-0000-0000241A0000}"/>
    <cellStyle name="40% - Accent2 12" xfId="819" xr:uid="{00000000-0005-0000-0000-0000251A0000}"/>
    <cellStyle name="40% - Accent2 12 2" xfId="10556" xr:uid="{00000000-0005-0000-0000-0000261A0000}"/>
    <cellStyle name="40% - Accent2 12 3" xfId="10557" xr:uid="{00000000-0005-0000-0000-0000271A0000}"/>
    <cellStyle name="40% - Accent2 12 4" xfId="10555" xr:uid="{00000000-0005-0000-0000-0000281A0000}"/>
    <cellStyle name="40% - Accent2 13" xfId="820" xr:uid="{00000000-0005-0000-0000-0000291A0000}"/>
    <cellStyle name="40% - Accent2 13 2" xfId="3852" xr:uid="{00000000-0005-0000-0000-00002A1A0000}"/>
    <cellStyle name="40% - Accent2 13 2 2" xfId="6261" xr:uid="{00000000-0005-0000-0000-00002B1A0000}"/>
    <cellStyle name="40% - Accent2 13 2 2 2" xfId="26279" xr:uid="{00000000-0005-0000-0000-00002C1A0000}"/>
    <cellStyle name="40% - Accent2 13 2 3" xfId="10559" xr:uid="{00000000-0005-0000-0000-00002D1A0000}"/>
    <cellStyle name="40% - Accent2 13 2 4" xfId="24988" xr:uid="{00000000-0005-0000-0000-00002E1A0000}"/>
    <cellStyle name="40% - Accent2 13 2 5" xfId="26278" xr:uid="{00000000-0005-0000-0000-00002F1A0000}"/>
    <cellStyle name="40% - Accent2 13 3" xfId="6260" xr:uid="{00000000-0005-0000-0000-0000301A0000}"/>
    <cellStyle name="40% - Accent2 13 3 2" xfId="10560" xr:uid="{00000000-0005-0000-0000-0000311A0000}"/>
    <cellStyle name="40% - Accent2 13 3 3" xfId="26280" xr:uid="{00000000-0005-0000-0000-0000321A0000}"/>
    <cellStyle name="40% - Accent2 13 4" xfId="10558" xr:uid="{00000000-0005-0000-0000-0000331A0000}"/>
    <cellStyle name="40% - Accent2 13 5" xfId="24867" xr:uid="{00000000-0005-0000-0000-0000341A0000}"/>
    <cellStyle name="40% - Accent2 13 6" xfId="26277" xr:uid="{00000000-0005-0000-0000-0000351A0000}"/>
    <cellStyle name="40% - Accent2 14" xfId="935" xr:uid="{00000000-0005-0000-0000-0000361A0000}"/>
    <cellStyle name="40% - Accent2 14 2" xfId="10562" xr:uid="{00000000-0005-0000-0000-0000371A0000}"/>
    <cellStyle name="40% - Accent2 14 3" xfId="10563" xr:uid="{00000000-0005-0000-0000-0000381A0000}"/>
    <cellStyle name="40% - Accent2 14 4" xfId="10561" xr:uid="{00000000-0005-0000-0000-0000391A0000}"/>
    <cellStyle name="40% - Accent2 15" xfId="10564" xr:uid="{00000000-0005-0000-0000-00003A1A0000}"/>
    <cellStyle name="40% - Accent2 15 2" xfId="10565" xr:uid="{00000000-0005-0000-0000-00003B1A0000}"/>
    <cellStyle name="40% - Accent2 15 3" xfId="10566" xr:uid="{00000000-0005-0000-0000-00003C1A0000}"/>
    <cellStyle name="40% - Accent2 16" xfId="10567" xr:uid="{00000000-0005-0000-0000-00003D1A0000}"/>
    <cellStyle name="40% - Accent2 16 2" xfId="10568" xr:uid="{00000000-0005-0000-0000-00003E1A0000}"/>
    <cellStyle name="40% - Accent2 16 3" xfId="10569" xr:uid="{00000000-0005-0000-0000-00003F1A0000}"/>
    <cellStyle name="40% - Accent2 17" xfId="10570" xr:uid="{00000000-0005-0000-0000-0000401A0000}"/>
    <cellStyle name="40% - Accent2 17 2" xfId="10571" xr:uid="{00000000-0005-0000-0000-0000411A0000}"/>
    <cellStyle name="40% - Accent2 17 3" xfId="10572" xr:uid="{00000000-0005-0000-0000-0000421A0000}"/>
    <cellStyle name="40% - Accent2 18" xfId="10573" xr:uid="{00000000-0005-0000-0000-0000431A0000}"/>
    <cellStyle name="40% - Accent2 18 2" xfId="10574" xr:uid="{00000000-0005-0000-0000-0000441A0000}"/>
    <cellStyle name="40% - Accent2 18 3" xfId="10575" xr:uid="{00000000-0005-0000-0000-0000451A0000}"/>
    <cellStyle name="40% - Accent2 19" xfId="10576" xr:uid="{00000000-0005-0000-0000-0000461A0000}"/>
    <cellStyle name="40% - Accent2 19 2" xfId="10577" xr:uid="{00000000-0005-0000-0000-0000471A0000}"/>
    <cellStyle name="40% - Accent2 2" xfId="75" xr:uid="{00000000-0005-0000-0000-0000481A0000}"/>
    <cellStyle name="40% - Accent2 2 10" xfId="1674" xr:uid="{00000000-0005-0000-0000-0000491A0000}"/>
    <cellStyle name="40% - Accent2 2 10 2" xfId="4496" xr:uid="{00000000-0005-0000-0000-00004A1A0000}"/>
    <cellStyle name="40% - Accent2 2 10 2 2" xfId="10578" xr:uid="{00000000-0005-0000-0000-00004B1A0000}"/>
    <cellStyle name="40% - Accent2 2 10 3" xfId="10579" xr:uid="{00000000-0005-0000-0000-00004C1A0000}"/>
    <cellStyle name="40% - Accent2 2 10 4" xfId="10580" xr:uid="{00000000-0005-0000-0000-00004D1A0000}"/>
    <cellStyle name="40% - Accent2 2 10 5" xfId="10581" xr:uid="{00000000-0005-0000-0000-00004E1A0000}"/>
    <cellStyle name="40% - Accent2 2 11" xfId="1663" xr:uid="{00000000-0005-0000-0000-00004F1A0000}"/>
    <cellStyle name="40% - Accent2 2 11 2" xfId="4497" xr:uid="{00000000-0005-0000-0000-0000501A0000}"/>
    <cellStyle name="40% - Accent2 2 11 2 2" xfId="10582" xr:uid="{00000000-0005-0000-0000-0000511A0000}"/>
    <cellStyle name="40% - Accent2 2 11 3" xfId="10583" xr:uid="{00000000-0005-0000-0000-0000521A0000}"/>
    <cellStyle name="40% - Accent2 2 11 4" xfId="10584" xr:uid="{00000000-0005-0000-0000-0000531A0000}"/>
    <cellStyle name="40% - Accent2 2 11 5" xfId="10585" xr:uid="{00000000-0005-0000-0000-0000541A0000}"/>
    <cellStyle name="40% - Accent2 2 12" xfId="2129" xr:uid="{00000000-0005-0000-0000-0000551A0000}"/>
    <cellStyle name="40% - Accent2 2 12 2" xfId="4498" xr:uid="{00000000-0005-0000-0000-0000561A0000}"/>
    <cellStyle name="40% - Accent2 2 12 2 2" xfId="10586" xr:uid="{00000000-0005-0000-0000-0000571A0000}"/>
    <cellStyle name="40% - Accent2 2 12 3" xfId="10587" xr:uid="{00000000-0005-0000-0000-0000581A0000}"/>
    <cellStyle name="40% - Accent2 2 12 4" xfId="10588" xr:uid="{00000000-0005-0000-0000-0000591A0000}"/>
    <cellStyle name="40% - Accent2 2 12 5" xfId="10589" xr:uid="{00000000-0005-0000-0000-00005A1A0000}"/>
    <cellStyle name="40% - Accent2 2 13" xfId="2503" xr:uid="{00000000-0005-0000-0000-00005B1A0000}"/>
    <cellStyle name="40% - Accent2 2 13 2" xfId="4499" xr:uid="{00000000-0005-0000-0000-00005C1A0000}"/>
    <cellStyle name="40% - Accent2 2 13 2 2" xfId="10590" xr:uid="{00000000-0005-0000-0000-00005D1A0000}"/>
    <cellStyle name="40% - Accent2 2 13 3" xfId="10591" xr:uid="{00000000-0005-0000-0000-00005E1A0000}"/>
    <cellStyle name="40% - Accent2 2 13 4" xfId="10592" xr:uid="{00000000-0005-0000-0000-00005F1A0000}"/>
    <cellStyle name="40% - Accent2 2 13 5" xfId="10593" xr:uid="{00000000-0005-0000-0000-0000601A0000}"/>
    <cellStyle name="40% - Accent2 2 14" xfId="2417" xr:uid="{00000000-0005-0000-0000-0000611A0000}"/>
    <cellStyle name="40% - Accent2 2 14 2" xfId="4500" xr:uid="{00000000-0005-0000-0000-0000621A0000}"/>
    <cellStyle name="40% - Accent2 2 14 2 2" xfId="10594" xr:uid="{00000000-0005-0000-0000-0000631A0000}"/>
    <cellStyle name="40% - Accent2 2 14 3" xfId="10595" xr:uid="{00000000-0005-0000-0000-0000641A0000}"/>
    <cellStyle name="40% - Accent2 2 14 4" xfId="10596" xr:uid="{00000000-0005-0000-0000-0000651A0000}"/>
    <cellStyle name="40% - Accent2 2 14 5" xfId="10597" xr:uid="{00000000-0005-0000-0000-0000661A0000}"/>
    <cellStyle name="40% - Accent2 2 15" xfId="2789" xr:uid="{00000000-0005-0000-0000-0000671A0000}"/>
    <cellStyle name="40% - Accent2 2 15 2" xfId="4501" xr:uid="{00000000-0005-0000-0000-0000681A0000}"/>
    <cellStyle name="40% - Accent2 2 15 2 2" xfId="10598" xr:uid="{00000000-0005-0000-0000-0000691A0000}"/>
    <cellStyle name="40% - Accent2 2 15 3" xfId="10599" xr:uid="{00000000-0005-0000-0000-00006A1A0000}"/>
    <cellStyle name="40% - Accent2 2 16" xfId="3639" xr:uid="{00000000-0005-0000-0000-00006B1A0000}"/>
    <cellStyle name="40% - Accent2 2 16 2" xfId="4502" xr:uid="{00000000-0005-0000-0000-00006C1A0000}"/>
    <cellStyle name="40% - Accent2 2 16 2 2" xfId="10600" xr:uid="{00000000-0005-0000-0000-00006D1A0000}"/>
    <cellStyle name="40% - Accent2 2 16 3" xfId="10601" xr:uid="{00000000-0005-0000-0000-00006E1A0000}"/>
    <cellStyle name="40% - Accent2 2 17" xfId="24474" xr:uid="{00000000-0005-0000-0000-00006F1A0000}"/>
    <cellStyle name="40% - Accent2 2 2" xfId="119" xr:uid="{00000000-0005-0000-0000-0000701A0000}"/>
    <cellStyle name="40% - Accent2 2 2 10" xfId="10602" xr:uid="{00000000-0005-0000-0000-0000711A0000}"/>
    <cellStyle name="40% - Accent2 2 2 10 2" xfId="10603" xr:uid="{00000000-0005-0000-0000-0000721A0000}"/>
    <cellStyle name="40% - Accent2 2 2 10 3" xfId="10604" xr:uid="{00000000-0005-0000-0000-0000731A0000}"/>
    <cellStyle name="40% - Accent2 2 2 11" xfId="10605" xr:uid="{00000000-0005-0000-0000-0000741A0000}"/>
    <cellStyle name="40% - Accent2 2 2 11 2" xfId="10606" xr:uid="{00000000-0005-0000-0000-0000751A0000}"/>
    <cellStyle name="40% - Accent2 2 2 11 3" xfId="10607" xr:uid="{00000000-0005-0000-0000-0000761A0000}"/>
    <cellStyle name="40% - Accent2 2 2 12" xfId="10608" xr:uid="{00000000-0005-0000-0000-0000771A0000}"/>
    <cellStyle name="40% - Accent2 2 2 12 2" xfId="10609" xr:uid="{00000000-0005-0000-0000-0000781A0000}"/>
    <cellStyle name="40% - Accent2 2 2 12 3" xfId="10610" xr:uid="{00000000-0005-0000-0000-0000791A0000}"/>
    <cellStyle name="40% - Accent2 2 2 13" xfId="10611" xr:uid="{00000000-0005-0000-0000-00007A1A0000}"/>
    <cellStyle name="40% - Accent2 2 2 14" xfId="10612" xr:uid="{00000000-0005-0000-0000-00007B1A0000}"/>
    <cellStyle name="40% - Accent2 2 2 15" xfId="10613" xr:uid="{00000000-0005-0000-0000-00007C1A0000}"/>
    <cellStyle name="40% - Accent2 2 2 2" xfId="176" xr:uid="{00000000-0005-0000-0000-00007D1A0000}"/>
    <cellStyle name="40% - Accent2 2 2 2 2" xfId="10615" xr:uid="{00000000-0005-0000-0000-00007E1A0000}"/>
    <cellStyle name="40% - Accent2 2 2 2 2 2" xfId="10616" xr:uid="{00000000-0005-0000-0000-00007F1A0000}"/>
    <cellStyle name="40% - Accent2 2 2 2 3" xfId="10617" xr:uid="{00000000-0005-0000-0000-0000801A0000}"/>
    <cellStyle name="40% - Accent2 2 2 2 3 2" xfId="10618" xr:uid="{00000000-0005-0000-0000-0000811A0000}"/>
    <cellStyle name="40% - Accent2 2 2 2 4" xfId="10619" xr:uid="{00000000-0005-0000-0000-0000821A0000}"/>
    <cellStyle name="40% - Accent2 2 2 2 5" xfId="10614" xr:uid="{00000000-0005-0000-0000-0000831A0000}"/>
    <cellStyle name="40% - Accent2 2 2 3" xfId="340" xr:uid="{00000000-0005-0000-0000-0000841A0000}"/>
    <cellStyle name="40% - Accent2 2 2 3 2" xfId="10621" xr:uid="{00000000-0005-0000-0000-0000851A0000}"/>
    <cellStyle name="40% - Accent2 2 2 3 2 2" xfId="10622" xr:uid="{00000000-0005-0000-0000-0000861A0000}"/>
    <cellStyle name="40% - Accent2 2 2 3 3" xfId="10623" xr:uid="{00000000-0005-0000-0000-0000871A0000}"/>
    <cellStyle name="40% - Accent2 2 2 3 3 2" xfId="10624" xr:uid="{00000000-0005-0000-0000-0000881A0000}"/>
    <cellStyle name="40% - Accent2 2 2 3 4" xfId="10625" xr:uid="{00000000-0005-0000-0000-0000891A0000}"/>
    <cellStyle name="40% - Accent2 2 2 3 5" xfId="10620" xr:uid="{00000000-0005-0000-0000-00008A1A0000}"/>
    <cellStyle name="40% - Accent2 2 2 4" xfId="2162" xr:uid="{00000000-0005-0000-0000-00008B1A0000}"/>
    <cellStyle name="40% - Accent2 2 2 4 2" xfId="10627" xr:uid="{00000000-0005-0000-0000-00008C1A0000}"/>
    <cellStyle name="40% - Accent2 2 2 4 2 2" xfId="10628" xr:uid="{00000000-0005-0000-0000-00008D1A0000}"/>
    <cellStyle name="40% - Accent2 2 2 4 3" xfId="10629" xr:uid="{00000000-0005-0000-0000-00008E1A0000}"/>
    <cellStyle name="40% - Accent2 2 2 4 3 2" xfId="10630" xr:uid="{00000000-0005-0000-0000-00008F1A0000}"/>
    <cellStyle name="40% - Accent2 2 2 4 4" xfId="10631" xr:uid="{00000000-0005-0000-0000-0000901A0000}"/>
    <cellStyle name="40% - Accent2 2 2 4 5" xfId="10626" xr:uid="{00000000-0005-0000-0000-0000911A0000}"/>
    <cellStyle name="40% - Accent2 2 2 5" xfId="2536" xr:uid="{00000000-0005-0000-0000-0000921A0000}"/>
    <cellStyle name="40% - Accent2 2 2 5 2" xfId="10633" xr:uid="{00000000-0005-0000-0000-0000931A0000}"/>
    <cellStyle name="40% - Accent2 2 2 5 2 2" xfId="10634" xr:uid="{00000000-0005-0000-0000-0000941A0000}"/>
    <cellStyle name="40% - Accent2 2 2 5 3" xfId="10635" xr:uid="{00000000-0005-0000-0000-0000951A0000}"/>
    <cellStyle name="40% - Accent2 2 2 5 3 2" xfId="10636" xr:uid="{00000000-0005-0000-0000-0000961A0000}"/>
    <cellStyle name="40% - Accent2 2 2 5 4" xfId="10637" xr:uid="{00000000-0005-0000-0000-0000971A0000}"/>
    <cellStyle name="40% - Accent2 2 2 5 5" xfId="10632" xr:uid="{00000000-0005-0000-0000-0000981A0000}"/>
    <cellStyle name="40% - Accent2 2 2 6" xfId="2908" xr:uid="{00000000-0005-0000-0000-0000991A0000}"/>
    <cellStyle name="40% - Accent2 2 2 6 2" xfId="10639" xr:uid="{00000000-0005-0000-0000-00009A1A0000}"/>
    <cellStyle name="40% - Accent2 2 2 6 2 2" xfId="10640" xr:uid="{00000000-0005-0000-0000-00009B1A0000}"/>
    <cellStyle name="40% - Accent2 2 2 6 3" xfId="10641" xr:uid="{00000000-0005-0000-0000-00009C1A0000}"/>
    <cellStyle name="40% - Accent2 2 2 6 3 2" xfId="10642" xr:uid="{00000000-0005-0000-0000-00009D1A0000}"/>
    <cellStyle name="40% - Accent2 2 2 6 4" xfId="10643" xr:uid="{00000000-0005-0000-0000-00009E1A0000}"/>
    <cellStyle name="40% - Accent2 2 2 6 5" xfId="10638" xr:uid="{00000000-0005-0000-0000-00009F1A0000}"/>
    <cellStyle name="40% - Accent2 2 2 7" xfId="3280" xr:uid="{00000000-0005-0000-0000-0000A01A0000}"/>
    <cellStyle name="40% - Accent2 2 2 7 2" xfId="10645" xr:uid="{00000000-0005-0000-0000-0000A11A0000}"/>
    <cellStyle name="40% - Accent2 2 2 7 2 2" xfId="10646" xr:uid="{00000000-0005-0000-0000-0000A21A0000}"/>
    <cellStyle name="40% - Accent2 2 2 7 3" xfId="10647" xr:uid="{00000000-0005-0000-0000-0000A31A0000}"/>
    <cellStyle name="40% - Accent2 2 2 7 3 2" xfId="10648" xr:uid="{00000000-0005-0000-0000-0000A41A0000}"/>
    <cellStyle name="40% - Accent2 2 2 7 4" xfId="10649" xr:uid="{00000000-0005-0000-0000-0000A51A0000}"/>
    <cellStyle name="40% - Accent2 2 2 7 5" xfId="10644" xr:uid="{00000000-0005-0000-0000-0000A61A0000}"/>
    <cellStyle name="40% - Accent2 2 2 8" xfId="4503" xr:uid="{00000000-0005-0000-0000-0000A71A0000}"/>
    <cellStyle name="40% - Accent2 2 2 8 2" xfId="10651" xr:uid="{00000000-0005-0000-0000-0000A81A0000}"/>
    <cellStyle name="40% - Accent2 2 2 8 2 2" xfId="10652" xr:uid="{00000000-0005-0000-0000-0000A91A0000}"/>
    <cellStyle name="40% - Accent2 2 2 8 3" xfId="10653" xr:uid="{00000000-0005-0000-0000-0000AA1A0000}"/>
    <cellStyle name="40% - Accent2 2 2 8 3 2" xfId="10654" xr:uid="{00000000-0005-0000-0000-0000AB1A0000}"/>
    <cellStyle name="40% - Accent2 2 2 8 4" xfId="10655" xr:uid="{00000000-0005-0000-0000-0000AC1A0000}"/>
    <cellStyle name="40% - Accent2 2 2 8 5" xfId="10650" xr:uid="{00000000-0005-0000-0000-0000AD1A0000}"/>
    <cellStyle name="40% - Accent2 2 2 9" xfId="10656" xr:uid="{00000000-0005-0000-0000-0000AE1A0000}"/>
    <cellStyle name="40% - Accent2 2 2 9 2" xfId="10657" xr:uid="{00000000-0005-0000-0000-0000AF1A0000}"/>
    <cellStyle name="40% - Accent2 2 2 9 2 2" xfId="10658" xr:uid="{00000000-0005-0000-0000-0000B01A0000}"/>
    <cellStyle name="40% - Accent2 2 2 9 3" xfId="10659" xr:uid="{00000000-0005-0000-0000-0000B11A0000}"/>
    <cellStyle name="40% - Accent2 2 2 9 3 2" xfId="10660" xr:uid="{00000000-0005-0000-0000-0000B21A0000}"/>
    <cellStyle name="40% - Accent2 2 2 9 4" xfId="10661" xr:uid="{00000000-0005-0000-0000-0000B31A0000}"/>
    <cellStyle name="40% - Accent2 2 3" xfId="284" xr:uid="{00000000-0005-0000-0000-0000B41A0000}"/>
    <cellStyle name="40% - Accent2 2 3 2" xfId="1338" xr:uid="{00000000-0005-0000-0000-0000B51A0000}"/>
    <cellStyle name="40% - Accent2 2 3 2 2" xfId="10664" xr:uid="{00000000-0005-0000-0000-0000B61A0000}"/>
    <cellStyle name="40% - Accent2 2 3 2 2 2" xfId="10665" xr:uid="{00000000-0005-0000-0000-0000B71A0000}"/>
    <cellStyle name="40% - Accent2 2 3 2 3" xfId="10666" xr:uid="{00000000-0005-0000-0000-0000B81A0000}"/>
    <cellStyle name="40% - Accent2 2 3 2 3 2" xfId="10667" xr:uid="{00000000-0005-0000-0000-0000B91A0000}"/>
    <cellStyle name="40% - Accent2 2 3 2 4" xfId="10668" xr:uid="{00000000-0005-0000-0000-0000BA1A0000}"/>
    <cellStyle name="40% - Accent2 2 3 2 5" xfId="10663" xr:uid="{00000000-0005-0000-0000-0000BB1A0000}"/>
    <cellStyle name="40% - Accent2 2 3 3" xfId="10669" xr:uid="{00000000-0005-0000-0000-0000BC1A0000}"/>
    <cellStyle name="40% - Accent2 2 3 3 2" xfId="10670" xr:uid="{00000000-0005-0000-0000-0000BD1A0000}"/>
    <cellStyle name="40% - Accent2 2 3 4" xfId="10671" xr:uid="{00000000-0005-0000-0000-0000BE1A0000}"/>
    <cellStyle name="40% - Accent2 2 3 4 2" xfId="10672" xr:uid="{00000000-0005-0000-0000-0000BF1A0000}"/>
    <cellStyle name="40% - Accent2 2 3 5" xfId="10673" xr:uid="{00000000-0005-0000-0000-0000C01A0000}"/>
    <cellStyle name="40% - Accent2 2 3 6" xfId="10662" xr:uid="{00000000-0005-0000-0000-0000C11A0000}"/>
    <cellStyle name="40% - Accent2 2 4" xfId="386" xr:uid="{00000000-0005-0000-0000-0000C21A0000}"/>
    <cellStyle name="40% - Accent2 2 4 2" xfId="10675" xr:uid="{00000000-0005-0000-0000-0000C31A0000}"/>
    <cellStyle name="40% - Accent2 2 4 2 2" xfId="10676" xr:uid="{00000000-0005-0000-0000-0000C41A0000}"/>
    <cellStyle name="40% - Accent2 2 4 2 2 2" xfId="10677" xr:uid="{00000000-0005-0000-0000-0000C51A0000}"/>
    <cellStyle name="40% - Accent2 2 4 2 3" xfId="10678" xr:uid="{00000000-0005-0000-0000-0000C61A0000}"/>
    <cellStyle name="40% - Accent2 2 4 2 3 2" xfId="10679" xr:uid="{00000000-0005-0000-0000-0000C71A0000}"/>
    <cellStyle name="40% - Accent2 2 4 2 4" xfId="10680" xr:uid="{00000000-0005-0000-0000-0000C81A0000}"/>
    <cellStyle name="40% - Accent2 2 4 3" xfId="10681" xr:uid="{00000000-0005-0000-0000-0000C91A0000}"/>
    <cellStyle name="40% - Accent2 2 4 3 2" xfId="10682" xr:uid="{00000000-0005-0000-0000-0000CA1A0000}"/>
    <cellStyle name="40% - Accent2 2 4 4" xfId="10683" xr:uid="{00000000-0005-0000-0000-0000CB1A0000}"/>
    <cellStyle name="40% - Accent2 2 4 4 2" xfId="10684" xr:uid="{00000000-0005-0000-0000-0000CC1A0000}"/>
    <cellStyle name="40% - Accent2 2 4 5" xfId="10685" xr:uid="{00000000-0005-0000-0000-0000CD1A0000}"/>
    <cellStyle name="40% - Accent2 2 4 6" xfId="10674" xr:uid="{00000000-0005-0000-0000-0000CE1A0000}"/>
    <cellStyle name="40% - Accent2 2 5" xfId="540" xr:uid="{00000000-0005-0000-0000-0000CF1A0000}"/>
    <cellStyle name="40% - Accent2 2 5 2" xfId="10687" xr:uid="{00000000-0005-0000-0000-0000D01A0000}"/>
    <cellStyle name="40% - Accent2 2 5 2 2" xfId="10688" xr:uid="{00000000-0005-0000-0000-0000D11A0000}"/>
    <cellStyle name="40% - Accent2 2 5 3" xfId="10689" xr:uid="{00000000-0005-0000-0000-0000D21A0000}"/>
    <cellStyle name="40% - Accent2 2 5 3 2" xfId="10690" xr:uid="{00000000-0005-0000-0000-0000D31A0000}"/>
    <cellStyle name="40% - Accent2 2 5 4" xfId="10691" xr:uid="{00000000-0005-0000-0000-0000D41A0000}"/>
    <cellStyle name="40% - Accent2 2 5 5" xfId="10686" xr:uid="{00000000-0005-0000-0000-0000D51A0000}"/>
    <cellStyle name="40% - Accent2 2 6" xfId="670" xr:uid="{00000000-0005-0000-0000-0000D61A0000}"/>
    <cellStyle name="40% - Accent2 2 6 2" xfId="10693" xr:uid="{00000000-0005-0000-0000-0000D71A0000}"/>
    <cellStyle name="40% - Accent2 2 6 2 2" xfId="10694" xr:uid="{00000000-0005-0000-0000-0000D81A0000}"/>
    <cellStyle name="40% - Accent2 2 6 3" xfId="10695" xr:uid="{00000000-0005-0000-0000-0000D91A0000}"/>
    <cellStyle name="40% - Accent2 2 6 3 2" xfId="10696" xr:uid="{00000000-0005-0000-0000-0000DA1A0000}"/>
    <cellStyle name="40% - Accent2 2 6 4" xfId="10697" xr:uid="{00000000-0005-0000-0000-0000DB1A0000}"/>
    <cellStyle name="40% - Accent2 2 6 5" xfId="10692" xr:uid="{00000000-0005-0000-0000-0000DC1A0000}"/>
    <cellStyle name="40% - Accent2 2 7" xfId="671" xr:uid="{00000000-0005-0000-0000-0000DD1A0000}"/>
    <cellStyle name="40% - Accent2 2 7 2" xfId="10699" xr:uid="{00000000-0005-0000-0000-0000DE1A0000}"/>
    <cellStyle name="40% - Accent2 2 7 2 2" xfId="10700" xr:uid="{00000000-0005-0000-0000-0000DF1A0000}"/>
    <cellStyle name="40% - Accent2 2 7 3" xfId="10701" xr:uid="{00000000-0005-0000-0000-0000E01A0000}"/>
    <cellStyle name="40% - Accent2 2 7 3 2" xfId="10702" xr:uid="{00000000-0005-0000-0000-0000E11A0000}"/>
    <cellStyle name="40% - Accent2 2 7 4" xfId="10703" xr:uid="{00000000-0005-0000-0000-0000E21A0000}"/>
    <cellStyle name="40% - Accent2 2 7 5" xfId="10698" xr:uid="{00000000-0005-0000-0000-0000E31A0000}"/>
    <cellStyle name="40% - Accent2 2 8" xfId="821" xr:uid="{00000000-0005-0000-0000-0000E41A0000}"/>
    <cellStyle name="40% - Accent2 2 8 2" xfId="1403" xr:uid="{00000000-0005-0000-0000-0000E51A0000}"/>
    <cellStyle name="40% - Accent2 2 8 2 2" xfId="10706" xr:uid="{00000000-0005-0000-0000-0000E61A0000}"/>
    <cellStyle name="40% - Accent2 2 8 2 3" xfId="10705" xr:uid="{00000000-0005-0000-0000-0000E71A0000}"/>
    <cellStyle name="40% - Accent2 2 8 3" xfId="10707" xr:uid="{00000000-0005-0000-0000-0000E81A0000}"/>
    <cellStyle name="40% - Accent2 2 8 3 2" xfId="10708" xr:uid="{00000000-0005-0000-0000-0000E91A0000}"/>
    <cellStyle name="40% - Accent2 2 8 4" xfId="10709" xr:uid="{00000000-0005-0000-0000-0000EA1A0000}"/>
    <cellStyle name="40% - Accent2 2 8 4 2" xfId="10710" xr:uid="{00000000-0005-0000-0000-0000EB1A0000}"/>
    <cellStyle name="40% - Accent2 2 8 5" xfId="10711" xr:uid="{00000000-0005-0000-0000-0000EC1A0000}"/>
    <cellStyle name="40% - Accent2 2 8 5 2" xfId="10712" xr:uid="{00000000-0005-0000-0000-0000ED1A0000}"/>
    <cellStyle name="40% - Accent2 2 8 6" xfId="10713" xr:uid="{00000000-0005-0000-0000-0000EE1A0000}"/>
    <cellStyle name="40% - Accent2 2 8 7" xfId="10704" xr:uid="{00000000-0005-0000-0000-0000EF1A0000}"/>
    <cellStyle name="40% - Accent2 2 9" xfId="936" xr:uid="{00000000-0005-0000-0000-0000F01A0000}"/>
    <cellStyle name="40% - Accent2 2 9 2" xfId="1445" xr:uid="{00000000-0005-0000-0000-0000F11A0000}"/>
    <cellStyle name="40% - Accent2 2 9 2 2" xfId="10716" xr:uid="{00000000-0005-0000-0000-0000F21A0000}"/>
    <cellStyle name="40% - Accent2 2 9 2 3" xfId="10715" xr:uid="{00000000-0005-0000-0000-0000F31A0000}"/>
    <cellStyle name="40% - Accent2 2 9 3" xfId="10717" xr:uid="{00000000-0005-0000-0000-0000F41A0000}"/>
    <cellStyle name="40% - Accent2 2 9 3 2" xfId="10718" xr:uid="{00000000-0005-0000-0000-0000F51A0000}"/>
    <cellStyle name="40% - Accent2 2 9 4" xfId="10719" xr:uid="{00000000-0005-0000-0000-0000F61A0000}"/>
    <cellStyle name="40% - Accent2 2 9 4 2" xfId="10720" xr:uid="{00000000-0005-0000-0000-0000F71A0000}"/>
    <cellStyle name="40% - Accent2 2 9 5" xfId="10721" xr:uid="{00000000-0005-0000-0000-0000F81A0000}"/>
    <cellStyle name="40% - Accent2 2 9 5 2" xfId="10722" xr:uid="{00000000-0005-0000-0000-0000F91A0000}"/>
    <cellStyle name="40% - Accent2 2 9 6" xfId="10723" xr:uid="{00000000-0005-0000-0000-0000FA1A0000}"/>
    <cellStyle name="40% - Accent2 2 9 7" xfId="10714" xr:uid="{00000000-0005-0000-0000-0000FB1A0000}"/>
    <cellStyle name="40% - Accent2 20" xfId="10724" xr:uid="{00000000-0005-0000-0000-0000FC1A0000}"/>
    <cellStyle name="40% - Accent2 20 2" xfId="10725" xr:uid="{00000000-0005-0000-0000-0000FD1A0000}"/>
    <cellStyle name="40% - Accent2 21" xfId="10726" xr:uid="{00000000-0005-0000-0000-0000FE1A0000}"/>
    <cellStyle name="40% - Accent2 21 2" xfId="10727" xr:uid="{00000000-0005-0000-0000-0000FF1A0000}"/>
    <cellStyle name="40% - Accent2 21 2 2" xfId="10728" xr:uid="{00000000-0005-0000-0000-0000001B0000}"/>
    <cellStyle name="40% - Accent2 21 2 2 2" xfId="10729" xr:uid="{00000000-0005-0000-0000-0000011B0000}"/>
    <cellStyle name="40% - Accent2 21 2 3" xfId="10730" xr:uid="{00000000-0005-0000-0000-0000021B0000}"/>
    <cellStyle name="40% - Accent2 21 2 3 2" xfId="10731" xr:uid="{00000000-0005-0000-0000-0000031B0000}"/>
    <cellStyle name="40% - Accent2 21 2 4" xfId="10732" xr:uid="{00000000-0005-0000-0000-0000041B0000}"/>
    <cellStyle name="40% - Accent2 21 3" xfId="10733" xr:uid="{00000000-0005-0000-0000-0000051B0000}"/>
    <cellStyle name="40% - Accent2 21 3 2" xfId="10734" xr:uid="{00000000-0005-0000-0000-0000061B0000}"/>
    <cellStyle name="40% - Accent2 21 4" xfId="10735" xr:uid="{00000000-0005-0000-0000-0000071B0000}"/>
    <cellStyle name="40% - Accent2 21 4 2" xfId="10736" xr:uid="{00000000-0005-0000-0000-0000081B0000}"/>
    <cellStyle name="40% - Accent2 21 5" xfId="10737" xr:uid="{00000000-0005-0000-0000-0000091B0000}"/>
    <cellStyle name="40% - Accent2 22" xfId="10738" xr:uid="{00000000-0005-0000-0000-00000A1B0000}"/>
    <cellStyle name="40% - Accent2 22 2" xfId="10739" xr:uid="{00000000-0005-0000-0000-00000B1B0000}"/>
    <cellStyle name="40% - Accent2 22 2 2" xfId="10740" xr:uid="{00000000-0005-0000-0000-00000C1B0000}"/>
    <cellStyle name="40% - Accent2 22 2 2 2" xfId="10741" xr:uid="{00000000-0005-0000-0000-00000D1B0000}"/>
    <cellStyle name="40% - Accent2 22 2 3" xfId="10742" xr:uid="{00000000-0005-0000-0000-00000E1B0000}"/>
    <cellStyle name="40% - Accent2 22 2 3 2" xfId="10743" xr:uid="{00000000-0005-0000-0000-00000F1B0000}"/>
    <cellStyle name="40% - Accent2 22 2 4" xfId="10744" xr:uid="{00000000-0005-0000-0000-0000101B0000}"/>
    <cellStyle name="40% - Accent2 22 3" xfId="10745" xr:uid="{00000000-0005-0000-0000-0000111B0000}"/>
    <cellStyle name="40% - Accent2 22 3 2" xfId="10746" xr:uid="{00000000-0005-0000-0000-0000121B0000}"/>
    <cellStyle name="40% - Accent2 22 4" xfId="10747" xr:uid="{00000000-0005-0000-0000-0000131B0000}"/>
    <cellStyle name="40% - Accent2 22 4 2" xfId="10748" xr:uid="{00000000-0005-0000-0000-0000141B0000}"/>
    <cellStyle name="40% - Accent2 22 5" xfId="10749" xr:uid="{00000000-0005-0000-0000-0000151B0000}"/>
    <cellStyle name="40% - Accent2 23" xfId="10750" xr:uid="{00000000-0005-0000-0000-0000161B0000}"/>
    <cellStyle name="40% - Accent2 23 2" xfId="10751" xr:uid="{00000000-0005-0000-0000-0000171B0000}"/>
    <cellStyle name="40% - Accent2 24" xfId="10752" xr:uid="{00000000-0005-0000-0000-0000181B0000}"/>
    <cellStyle name="40% - Accent2 24 2" xfId="10753" xr:uid="{00000000-0005-0000-0000-0000191B0000}"/>
    <cellStyle name="40% - Accent2 24 2 2" xfId="10754" xr:uid="{00000000-0005-0000-0000-00001A1B0000}"/>
    <cellStyle name="40% - Accent2 24 2 2 2" xfId="10755" xr:uid="{00000000-0005-0000-0000-00001B1B0000}"/>
    <cellStyle name="40% - Accent2 24 2 3" xfId="10756" xr:uid="{00000000-0005-0000-0000-00001C1B0000}"/>
    <cellStyle name="40% - Accent2 24 2 3 2" xfId="10757" xr:uid="{00000000-0005-0000-0000-00001D1B0000}"/>
    <cellStyle name="40% - Accent2 24 2 4" xfId="10758" xr:uid="{00000000-0005-0000-0000-00001E1B0000}"/>
    <cellStyle name="40% - Accent2 24 3" xfId="10759" xr:uid="{00000000-0005-0000-0000-00001F1B0000}"/>
    <cellStyle name="40% - Accent2 24 3 2" xfId="10760" xr:uid="{00000000-0005-0000-0000-0000201B0000}"/>
    <cellStyle name="40% - Accent2 24 4" xfId="10761" xr:uid="{00000000-0005-0000-0000-0000211B0000}"/>
    <cellStyle name="40% - Accent2 24 4 2" xfId="10762" xr:uid="{00000000-0005-0000-0000-0000221B0000}"/>
    <cellStyle name="40% - Accent2 24 5" xfId="10763" xr:uid="{00000000-0005-0000-0000-0000231B0000}"/>
    <cellStyle name="40% - Accent2 25" xfId="10764" xr:uid="{00000000-0005-0000-0000-0000241B0000}"/>
    <cellStyle name="40% - Accent2 25 2" xfId="10765" xr:uid="{00000000-0005-0000-0000-0000251B0000}"/>
    <cellStyle name="40% - Accent2 25 2 2" xfId="10766" xr:uid="{00000000-0005-0000-0000-0000261B0000}"/>
    <cellStyle name="40% - Accent2 25 2 2 2" xfId="10767" xr:uid="{00000000-0005-0000-0000-0000271B0000}"/>
    <cellStyle name="40% - Accent2 25 2 3" xfId="10768" xr:uid="{00000000-0005-0000-0000-0000281B0000}"/>
    <cellStyle name="40% - Accent2 25 2 3 2" xfId="10769" xr:uid="{00000000-0005-0000-0000-0000291B0000}"/>
    <cellStyle name="40% - Accent2 25 2 4" xfId="10770" xr:uid="{00000000-0005-0000-0000-00002A1B0000}"/>
    <cellStyle name="40% - Accent2 25 3" xfId="10771" xr:uid="{00000000-0005-0000-0000-00002B1B0000}"/>
    <cellStyle name="40% - Accent2 25 3 2" xfId="10772" xr:uid="{00000000-0005-0000-0000-00002C1B0000}"/>
    <cellStyle name="40% - Accent2 25 4" xfId="10773" xr:uid="{00000000-0005-0000-0000-00002D1B0000}"/>
    <cellStyle name="40% - Accent2 25 4 2" xfId="10774" xr:uid="{00000000-0005-0000-0000-00002E1B0000}"/>
    <cellStyle name="40% - Accent2 25 5" xfId="10775" xr:uid="{00000000-0005-0000-0000-00002F1B0000}"/>
    <cellStyle name="40% - Accent2 26" xfId="10776" xr:uid="{00000000-0005-0000-0000-0000301B0000}"/>
    <cellStyle name="40% - Accent2 26 2" xfId="10777" xr:uid="{00000000-0005-0000-0000-0000311B0000}"/>
    <cellStyle name="40% - Accent2 27" xfId="10778" xr:uid="{00000000-0005-0000-0000-0000321B0000}"/>
    <cellStyle name="40% - Accent2 27 2" xfId="10779" xr:uid="{00000000-0005-0000-0000-0000331B0000}"/>
    <cellStyle name="40% - Accent2 27 2 2" xfId="10780" xr:uid="{00000000-0005-0000-0000-0000341B0000}"/>
    <cellStyle name="40% - Accent2 27 2 2 2" xfId="10781" xr:uid="{00000000-0005-0000-0000-0000351B0000}"/>
    <cellStyle name="40% - Accent2 27 2 3" xfId="10782" xr:uid="{00000000-0005-0000-0000-0000361B0000}"/>
    <cellStyle name="40% - Accent2 27 2 3 2" xfId="10783" xr:uid="{00000000-0005-0000-0000-0000371B0000}"/>
    <cellStyle name="40% - Accent2 27 2 4" xfId="10784" xr:uid="{00000000-0005-0000-0000-0000381B0000}"/>
    <cellStyle name="40% - Accent2 27 3" xfId="10785" xr:uid="{00000000-0005-0000-0000-0000391B0000}"/>
    <cellStyle name="40% - Accent2 27 3 2" xfId="10786" xr:uid="{00000000-0005-0000-0000-00003A1B0000}"/>
    <cellStyle name="40% - Accent2 27 4" xfId="10787" xr:uid="{00000000-0005-0000-0000-00003B1B0000}"/>
    <cellStyle name="40% - Accent2 27 4 2" xfId="10788" xr:uid="{00000000-0005-0000-0000-00003C1B0000}"/>
    <cellStyle name="40% - Accent2 27 5" xfId="10789" xr:uid="{00000000-0005-0000-0000-00003D1B0000}"/>
    <cellStyle name="40% - Accent2 28" xfId="10790" xr:uid="{00000000-0005-0000-0000-00003E1B0000}"/>
    <cellStyle name="40% - Accent2 28 2" xfId="10791" xr:uid="{00000000-0005-0000-0000-00003F1B0000}"/>
    <cellStyle name="40% - Accent2 28 2 2" xfId="10792" xr:uid="{00000000-0005-0000-0000-0000401B0000}"/>
    <cellStyle name="40% - Accent2 28 3" xfId="10793" xr:uid="{00000000-0005-0000-0000-0000411B0000}"/>
    <cellStyle name="40% - Accent2 28 3 2" xfId="10794" xr:uid="{00000000-0005-0000-0000-0000421B0000}"/>
    <cellStyle name="40% - Accent2 28 4" xfId="10795" xr:uid="{00000000-0005-0000-0000-0000431B0000}"/>
    <cellStyle name="40% - Accent2 29" xfId="10796" xr:uid="{00000000-0005-0000-0000-0000441B0000}"/>
    <cellStyle name="40% - Accent2 29 2" xfId="10797" xr:uid="{00000000-0005-0000-0000-0000451B0000}"/>
    <cellStyle name="40% - Accent2 3" xfId="217" xr:uid="{00000000-0005-0000-0000-0000461B0000}"/>
    <cellStyle name="40% - Accent2 3 10" xfId="3682" xr:uid="{00000000-0005-0000-0000-0000471B0000}"/>
    <cellStyle name="40% - Accent2 3 10 2" xfId="4504" xr:uid="{00000000-0005-0000-0000-0000481B0000}"/>
    <cellStyle name="40% - Accent2 3 10 2 2" xfId="10801" xr:uid="{00000000-0005-0000-0000-0000491B0000}"/>
    <cellStyle name="40% - Accent2 3 10 2 3" xfId="10800" xr:uid="{00000000-0005-0000-0000-00004A1B0000}"/>
    <cellStyle name="40% - Accent2 3 10 3" xfId="10802" xr:uid="{00000000-0005-0000-0000-00004B1B0000}"/>
    <cellStyle name="40% - Accent2 3 10 3 2" xfId="10803" xr:uid="{00000000-0005-0000-0000-00004C1B0000}"/>
    <cellStyle name="40% - Accent2 3 10 4" xfId="10804" xr:uid="{00000000-0005-0000-0000-00004D1B0000}"/>
    <cellStyle name="40% - Accent2 3 10 4 2" xfId="10805" xr:uid="{00000000-0005-0000-0000-00004E1B0000}"/>
    <cellStyle name="40% - Accent2 3 10 5" xfId="10806" xr:uid="{00000000-0005-0000-0000-00004F1B0000}"/>
    <cellStyle name="40% - Accent2 3 10 5 2" xfId="10807" xr:uid="{00000000-0005-0000-0000-0000501B0000}"/>
    <cellStyle name="40% - Accent2 3 10 6" xfId="10808" xr:uid="{00000000-0005-0000-0000-0000511B0000}"/>
    <cellStyle name="40% - Accent2 3 10 7" xfId="10799" xr:uid="{00000000-0005-0000-0000-0000521B0000}"/>
    <cellStyle name="40% - Accent2 3 11" xfId="10809" xr:uid="{00000000-0005-0000-0000-0000531B0000}"/>
    <cellStyle name="40% - Accent2 3 11 2" xfId="10810" xr:uid="{00000000-0005-0000-0000-0000541B0000}"/>
    <cellStyle name="40% - Accent2 3 11 2 2" xfId="10811" xr:uid="{00000000-0005-0000-0000-0000551B0000}"/>
    <cellStyle name="40% - Accent2 3 11 3" xfId="10812" xr:uid="{00000000-0005-0000-0000-0000561B0000}"/>
    <cellStyle name="40% - Accent2 3 11 3 2" xfId="10813" xr:uid="{00000000-0005-0000-0000-0000571B0000}"/>
    <cellStyle name="40% - Accent2 3 11 4" xfId="10814" xr:uid="{00000000-0005-0000-0000-0000581B0000}"/>
    <cellStyle name="40% - Accent2 3 12" xfId="10815" xr:uid="{00000000-0005-0000-0000-0000591B0000}"/>
    <cellStyle name="40% - Accent2 3 12 2" xfId="10816" xr:uid="{00000000-0005-0000-0000-00005A1B0000}"/>
    <cellStyle name="40% - Accent2 3 12 2 2" xfId="10817" xr:uid="{00000000-0005-0000-0000-00005B1B0000}"/>
    <cellStyle name="40% - Accent2 3 12 3" xfId="10818" xr:uid="{00000000-0005-0000-0000-00005C1B0000}"/>
    <cellStyle name="40% - Accent2 3 12 3 2" xfId="10819" xr:uid="{00000000-0005-0000-0000-00005D1B0000}"/>
    <cellStyle name="40% - Accent2 3 12 4" xfId="10820" xr:uid="{00000000-0005-0000-0000-00005E1B0000}"/>
    <cellStyle name="40% - Accent2 3 13" xfId="10821" xr:uid="{00000000-0005-0000-0000-00005F1B0000}"/>
    <cellStyle name="40% - Accent2 3 13 2" xfId="10822" xr:uid="{00000000-0005-0000-0000-0000601B0000}"/>
    <cellStyle name="40% - Accent2 3 13 2 2" xfId="10823" xr:uid="{00000000-0005-0000-0000-0000611B0000}"/>
    <cellStyle name="40% - Accent2 3 13 3" xfId="10824" xr:uid="{00000000-0005-0000-0000-0000621B0000}"/>
    <cellStyle name="40% - Accent2 3 13 3 2" xfId="10825" xr:uid="{00000000-0005-0000-0000-0000631B0000}"/>
    <cellStyle name="40% - Accent2 3 13 4" xfId="10826" xr:uid="{00000000-0005-0000-0000-0000641B0000}"/>
    <cellStyle name="40% - Accent2 3 14" xfId="10827" xr:uid="{00000000-0005-0000-0000-0000651B0000}"/>
    <cellStyle name="40% - Accent2 3 14 2" xfId="10828" xr:uid="{00000000-0005-0000-0000-0000661B0000}"/>
    <cellStyle name="40% - Accent2 3 15" xfId="10829" xr:uid="{00000000-0005-0000-0000-0000671B0000}"/>
    <cellStyle name="40% - Accent2 3 15 2" xfId="10830" xr:uid="{00000000-0005-0000-0000-0000681B0000}"/>
    <cellStyle name="40% - Accent2 3 16" xfId="10831" xr:uid="{00000000-0005-0000-0000-0000691B0000}"/>
    <cellStyle name="40% - Accent2 3 17" xfId="10798" xr:uid="{00000000-0005-0000-0000-00006A1B0000}"/>
    <cellStyle name="40% - Accent2 3 2" xfId="1455" xr:uid="{00000000-0005-0000-0000-00006B1B0000}"/>
    <cellStyle name="40% - Accent2 3 2 10" xfId="10833" xr:uid="{00000000-0005-0000-0000-00006C1B0000}"/>
    <cellStyle name="40% - Accent2 3 2 10 2" xfId="10834" xr:uid="{00000000-0005-0000-0000-00006D1B0000}"/>
    <cellStyle name="40% - Accent2 3 2 10 2 2" xfId="10835" xr:uid="{00000000-0005-0000-0000-00006E1B0000}"/>
    <cellStyle name="40% - Accent2 3 2 10 3" xfId="10836" xr:uid="{00000000-0005-0000-0000-00006F1B0000}"/>
    <cellStyle name="40% - Accent2 3 2 10 3 2" xfId="10837" xr:uid="{00000000-0005-0000-0000-0000701B0000}"/>
    <cellStyle name="40% - Accent2 3 2 10 4" xfId="10838" xr:uid="{00000000-0005-0000-0000-0000711B0000}"/>
    <cellStyle name="40% - Accent2 3 2 11" xfId="10839" xr:uid="{00000000-0005-0000-0000-0000721B0000}"/>
    <cellStyle name="40% - Accent2 3 2 11 2" xfId="10840" xr:uid="{00000000-0005-0000-0000-0000731B0000}"/>
    <cellStyle name="40% - Accent2 3 2 11 2 2" xfId="10841" xr:uid="{00000000-0005-0000-0000-0000741B0000}"/>
    <cellStyle name="40% - Accent2 3 2 11 3" xfId="10842" xr:uid="{00000000-0005-0000-0000-0000751B0000}"/>
    <cellStyle name="40% - Accent2 3 2 11 3 2" xfId="10843" xr:uid="{00000000-0005-0000-0000-0000761B0000}"/>
    <cellStyle name="40% - Accent2 3 2 11 4" xfId="10844" xr:uid="{00000000-0005-0000-0000-0000771B0000}"/>
    <cellStyle name="40% - Accent2 3 2 12" xfId="10845" xr:uid="{00000000-0005-0000-0000-0000781B0000}"/>
    <cellStyle name="40% - Accent2 3 2 12 2" xfId="10846" xr:uid="{00000000-0005-0000-0000-0000791B0000}"/>
    <cellStyle name="40% - Accent2 3 2 12 2 2" xfId="10847" xr:uid="{00000000-0005-0000-0000-00007A1B0000}"/>
    <cellStyle name="40% - Accent2 3 2 12 3" xfId="10848" xr:uid="{00000000-0005-0000-0000-00007B1B0000}"/>
    <cellStyle name="40% - Accent2 3 2 12 3 2" xfId="10849" xr:uid="{00000000-0005-0000-0000-00007C1B0000}"/>
    <cellStyle name="40% - Accent2 3 2 12 4" xfId="10850" xr:uid="{00000000-0005-0000-0000-00007D1B0000}"/>
    <cellStyle name="40% - Accent2 3 2 13" xfId="10851" xr:uid="{00000000-0005-0000-0000-00007E1B0000}"/>
    <cellStyle name="40% - Accent2 3 2 13 2" xfId="10852" xr:uid="{00000000-0005-0000-0000-00007F1B0000}"/>
    <cellStyle name="40% - Accent2 3 2 14" xfId="10853" xr:uid="{00000000-0005-0000-0000-0000801B0000}"/>
    <cellStyle name="40% - Accent2 3 2 14 2" xfId="10854" xr:uid="{00000000-0005-0000-0000-0000811B0000}"/>
    <cellStyle name="40% - Accent2 3 2 15" xfId="10855" xr:uid="{00000000-0005-0000-0000-0000821B0000}"/>
    <cellStyle name="40% - Accent2 3 2 15 2" xfId="10856" xr:uid="{00000000-0005-0000-0000-0000831B0000}"/>
    <cellStyle name="40% - Accent2 3 2 16" xfId="10857" xr:uid="{00000000-0005-0000-0000-0000841B0000}"/>
    <cellStyle name="40% - Accent2 3 2 17" xfId="10832" xr:uid="{00000000-0005-0000-0000-0000851B0000}"/>
    <cellStyle name="40% - Accent2 3 2 2" xfId="1828" xr:uid="{00000000-0005-0000-0000-0000861B0000}"/>
    <cellStyle name="40% - Accent2 3 2 2 2" xfId="10859" xr:uid="{00000000-0005-0000-0000-0000871B0000}"/>
    <cellStyle name="40% - Accent2 3 2 2 2 2" xfId="10860" xr:uid="{00000000-0005-0000-0000-0000881B0000}"/>
    <cellStyle name="40% - Accent2 3 2 2 3" xfId="10861" xr:uid="{00000000-0005-0000-0000-0000891B0000}"/>
    <cellStyle name="40% - Accent2 3 2 2 3 2" xfId="10862" xr:uid="{00000000-0005-0000-0000-00008A1B0000}"/>
    <cellStyle name="40% - Accent2 3 2 2 4" xfId="10863" xr:uid="{00000000-0005-0000-0000-00008B1B0000}"/>
    <cellStyle name="40% - Accent2 3 2 2 5" xfId="10858" xr:uid="{00000000-0005-0000-0000-00008C1B0000}"/>
    <cellStyle name="40% - Accent2 3 2 3" xfId="2203" xr:uid="{00000000-0005-0000-0000-00008D1B0000}"/>
    <cellStyle name="40% - Accent2 3 2 3 2" xfId="10865" xr:uid="{00000000-0005-0000-0000-00008E1B0000}"/>
    <cellStyle name="40% - Accent2 3 2 3 2 2" xfId="10866" xr:uid="{00000000-0005-0000-0000-00008F1B0000}"/>
    <cellStyle name="40% - Accent2 3 2 3 3" xfId="10867" xr:uid="{00000000-0005-0000-0000-0000901B0000}"/>
    <cellStyle name="40% - Accent2 3 2 3 3 2" xfId="10868" xr:uid="{00000000-0005-0000-0000-0000911B0000}"/>
    <cellStyle name="40% - Accent2 3 2 3 4" xfId="10869" xr:uid="{00000000-0005-0000-0000-0000921B0000}"/>
    <cellStyle name="40% - Accent2 3 2 3 5" xfId="10864" xr:uid="{00000000-0005-0000-0000-0000931B0000}"/>
    <cellStyle name="40% - Accent2 3 2 4" xfId="2577" xr:uid="{00000000-0005-0000-0000-0000941B0000}"/>
    <cellStyle name="40% - Accent2 3 2 4 2" xfId="10871" xr:uid="{00000000-0005-0000-0000-0000951B0000}"/>
    <cellStyle name="40% - Accent2 3 2 4 2 2" xfId="10872" xr:uid="{00000000-0005-0000-0000-0000961B0000}"/>
    <cellStyle name="40% - Accent2 3 2 4 3" xfId="10873" xr:uid="{00000000-0005-0000-0000-0000971B0000}"/>
    <cellStyle name="40% - Accent2 3 2 4 3 2" xfId="10874" xr:uid="{00000000-0005-0000-0000-0000981B0000}"/>
    <cellStyle name="40% - Accent2 3 2 4 4" xfId="10875" xr:uid="{00000000-0005-0000-0000-0000991B0000}"/>
    <cellStyle name="40% - Accent2 3 2 4 5" xfId="10870" xr:uid="{00000000-0005-0000-0000-00009A1B0000}"/>
    <cellStyle name="40% - Accent2 3 2 5" xfId="2949" xr:uid="{00000000-0005-0000-0000-00009B1B0000}"/>
    <cellStyle name="40% - Accent2 3 2 5 2" xfId="10877" xr:uid="{00000000-0005-0000-0000-00009C1B0000}"/>
    <cellStyle name="40% - Accent2 3 2 5 2 2" xfId="10878" xr:uid="{00000000-0005-0000-0000-00009D1B0000}"/>
    <cellStyle name="40% - Accent2 3 2 5 3" xfId="10879" xr:uid="{00000000-0005-0000-0000-00009E1B0000}"/>
    <cellStyle name="40% - Accent2 3 2 5 3 2" xfId="10880" xr:uid="{00000000-0005-0000-0000-00009F1B0000}"/>
    <cellStyle name="40% - Accent2 3 2 5 4" xfId="10881" xr:uid="{00000000-0005-0000-0000-0000A01B0000}"/>
    <cellStyle name="40% - Accent2 3 2 5 5" xfId="10876" xr:uid="{00000000-0005-0000-0000-0000A11B0000}"/>
    <cellStyle name="40% - Accent2 3 2 6" xfId="3321" xr:uid="{00000000-0005-0000-0000-0000A21B0000}"/>
    <cellStyle name="40% - Accent2 3 2 6 2" xfId="10883" xr:uid="{00000000-0005-0000-0000-0000A31B0000}"/>
    <cellStyle name="40% - Accent2 3 2 6 2 2" xfId="10884" xr:uid="{00000000-0005-0000-0000-0000A41B0000}"/>
    <cellStyle name="40% - Accent2 3 2 6 3" xfId="10885" xr:uid="{00000000-0005-0000-0000-0000A51B0000}"/>
    <cellStyle name="40% - Accent2 3 2 6 3 2" xfId="10886" xr:uid="{00000000-0005-0000-0000-0000A61B0000}"/>
    <cellStyle name="40% - Accent2 3 2 6 4" xfId="10887" xr:uid="{00000000-0005-0000-0000-0000A71B0000}"/>
    <cellStyle name="40% - Accent2 3 2 6 5" xfId="10882" xr:uid="{00000000-0005-0000-0000-0000A81B0000}"/>
    <cellStyle name="40% - Accent2 3 2 7" xfId="4505" xr:uid="{00000000-0005-0000-0000-0000A91B0000}"/>
    <cellStyle name="40% - Accent2 3 2 7 2" xfId="10889" xr:uid="{00000000-0005-0000-0000-0000AA1B0000}"/>
    <cellStyle name="40% - Accent2 3 2 7 2 2" xfId="10890" xr:uid="{00000000-0005-0000-0000-0000AB1B0000}"/>
    <cellStyle name="40% - Accent2 3 2 7 3" xfId="10891" xr:uid="{00000000-0005-0000-0000-0000AC1B0000}"/>
    <cellStyle name="40% - Accent2 3 2 7 3 2" xfId="10892" xr:uid="{00000000-0005-0000-0000-0000AD1B0000}"/>
    <cellStyle name="40% - Accent2 3 2 7 4" xfId="10893" xr:uid="{00000000-0005-0000-0000-0000AE1B0000}"/>
    <cellStyle name="40% - Accent2 3 2 7 5" xfId="10888" xr:uid="{00000000-0005-0000-0000-0000AF1B0000}"/>
    <cellStyle name="40% - Accent2 3 2 8" xfId="10894" xr:uid="{00000000-0005-0000-0000-0000B01B0000}"/>
    <cellStyle name="40% - Accent2 3 2 8 2" xfId="10895" xr:uid="{00000000-0005-0000-0000-0000B11B0000}"/>
    <cellStyle name="40% - Accent2 3 2 8 2 2" xfId="10896" xr:uid="{00000000-0005-0000-0000-0000B21B0000}"/>
    <cellStyle name="40% - Accent2 3 2 8 3" xfId="10897" xr:uid="{00000000-0005-0000-0000-0000B31B0000}"/>
    <cellStyle name="40% - Accent2 3 2 8 3 2" xfId="10898" xr:uid="{00000000-0005-0000-0000-0000B41B0000}"/>
    <cellStyle name="40% - Accent2 3 2 8 4" xfId="10899" xr:uid="{00000000-0005-0000-0000-0000B51B0000}"/>
    <cellStyle name="40% - Accent2 3 2 9" xfId="10900" xr:uid="{00000000-0005-0000-0000-0000B61B0000}"/>
    <cellStyle name="40% - Accent2 3 2 9 2" xfId="10901" xr:uid="{00000000-0005-0000-0000-0000B71B0000}"/>
    <cellStyle name="40% - Accent2 3 2 9 2 2" xfId="10902" xr:uid="{00000000-0005-0000-0000-0000B81B0000}"/>
    <cellStyle name="40% - Accent2 3 2 9 3" xfId="10903" xr:uid="{00000000-0005-0000-0000-0000B91B0000}"/>
    <cellStyle name="40% - Accent2 3 2 9 3 2" xfId="10904" xr:uid="{00000000-0005-0000-0000-0000BA1B0000}"/>
    <cellStyle name="40% - Accent2 3 2 9 4" xfId="10905" xr:uid="{00000000-0005-0000-0000-0000BB1B0000}"/>
    <cellStyle name="40% - Accent2 3 3" xfId="1582" xr:uid="{00000000-0005-0000-0000-0000BC1B0000}"/>
    <cellStyle name="40% - Accent2 3 3 2" xfId="1905" xr:uid="{00000000-0005-0000-0000-0000BD1B0000}"/>
    <cellStyle name="40% - Accent2 3 3 2 2" xfId="10908" xr:uid="{00000000-0005-0000-0000-0000BE1B0000}"/>
    <cellStyle name="40% - Accent2 3 3 2 3" xfId="10907" xr:uid="{00000000-0005-0000-0000-0000BF1B0000}"/>
    <cellStyle name="40% - Accent2 3 3 3" xfId="2280" xr:uid="{00000000-0005-0000-0000-0000C01B0000}"/>
    <cellStyle name="40% - Accent2 3 3 3 2" xfId="10910" xr:uid="{00000000-0005-0000-0000-0000C11B0000}"/>
    <cellStyle name="40% - Accent2 3 3 3 3" xfId="10909" xr:uid="{00000000-0005-0000-0000-0000C21B0000}"/>
    <cellStyle name="40% - Accent2 3 3 4" xfId="2653" xr:uid="{00000000-0005-0000-0000-0000C31B0000}"/>
    <cellStyle name="40% - Accent2 3 3 4 2" xfId="10912" xr:uid="{00000000-0005-0000-0000-0000C41B0000}"/>
    <cellStyle name="40% - Accent2 3 3 4 3" xfId="10911" xr:uid="{00000000-0005-0000-0000-0000C51B0000}"/>
    <cellStyle name="40% - Accent2 3 3 5" xfId="3026" xr:uid="{00000000-0005-0000-0000-0000C61B0000}"/>
    <cellStyle name="40% - Accent2 3 3 5 2" xfId="10914" xr:uid="{00000000-0005-0000-0000-0000C71B0000}"/>
    <cellStyle name="40% - Accent2 3 3 5 3" xfId="10913" xr:uid="{00000000-0005-0000-0000-0000C81B0000}"/>
    <cellStyle name="40% - Accent2 3 3 6" xfId="3397" xr:uid="{00000000-0005-0000-0000-0000C91B0000}"/>
    <cellStyle name="40% - Accent2 3 3 6 2" xfId="10916" xr:uid="{00000000-0005-0000-0000-0000CA1B0000}"/>
    <cellStyle name="40% - Accent2 3 3 6 3" xfId="10915" xr:uid="{00000000-0005-0000-0000-0000CB1B0000}"/>
    <cellStyle name="40% - Accent2 3 3 7" xfId="4506" xr:uid="{00000000-0005-0000-0000-0000CC1B0000}"/>
    <cellStyle name="40% - Accent2 3 3 7 2" xfId="10918" xr:uid="{00000000-0005-0000-0000-0000CD1B0000}"/>
    <cellStyle name="40% - Accent2 3 3 7 3" xfId="10917" xr:uid="{00000000-0005-0000-0000-0000CE1B0000}"/>
    <cellStyle name="40% - Accent2 3 3 8" xfId="10919" xr:uid="{00000000-0005-0000-0000-0000CF1B0000}"/>
    <cellStyle name="40% - Accent2 3 3 9" xfId="10906" xr:uid="{00000000-0005-0000-0000-0000D01B0000}"/>
    <cellStyle name="40% - Accent2 3 4" xfId="1719" xr:uid="{00000000-0005-0000-0000-0000D11B0000}"/>
    <cellStyle name="40% - Accent2 3 4 2" xfId="1949" xr:uid="{00000000-0005-0000-0000-0000D21B0000}"/>
    <cellStyle name="40% - Accent2 3 4 2 2" xfId="10922" xr:uid="{00000000-0005-0000-0000-0000D31B0000}"/>
    <cellStyle name="40% - Accent2 3 4 2 3" xfId="10921" xr:uid="{00000000-0005-0000-0000-0000D41B0000}"/>
    <cellStyle name="40% - Accent2 3 4 3" xfId="2324" xr:uid="{00000000-0005-0000-0000-0000D51B0000}"/>
    <cellStyle name="40% - Accent2 3 4 3 2" xfId="10924" xr:uid="{00000000-0005-0000-0000-0000D61B0000}"/>
    <cellStyle name="40% - Accent2 3 4 3 3" xfId="10923" xr:uid="{00000000-0005-0000-0000-0000D71B0000}"/>
    <cellStyle name="40% - Accent2 3 4 4" xfId="2697" xr:uid="{00000000-0005-0000-0000-0000D81B0000}"/>
    <cellStyle name="40% - Accent2 3 4 4 2" xfId="10926" xr:uid="{00000000-0005-0000-0000-0000D91B0000}"/>
    <cellStyle name="40% - Accent2 3 4 4 3" xfId="10925" xr:uid="{00000000-0005-0000-0000-0000DA1B0000}"/>
    <cellStyle name="40% - Accent2 3 4 5" xfId="3070" xr:uid="{00000000-0005-0000-0000-0000DB1B0000}"/>
    <cellStyle name="40% - Accent2 3 4 5 2" xfId="10928" xr:uid="{00000000-0005-0000-0000-0000DC1B0000}"/>
    <cellStyle name="40% - Accent2 3 4 5 3" xfId="10927" xr:uid="{00000000-0005-0000-0000-0000DD1B0000}"/>
    <cellStyle name="40% - Accent2 3 4 6" xfId="3441" xr:uid="{00000000-0005-0000-0000-0000DE1B0000}"/>
    <cellStyle name="40% - Accent2 3 4 6 2" xfId="10930" xr:uid="{00000000-0005-0000-0000-0000DF1B0000}"/>
    <cellStyle name="40% - Accent2 3 4 6 3" xfId="10929" xr:uid="{00000000-0005-0000-0000-0000E01B0000}"/>
    <cellStyle name="40% - Accent2 3 4 7" xfId="10931" xr:uid="{00000000-0005-0000-0000-0000E11B0000}"/>
    <cellStyle name="40% - Accent2 3 4 8" xfId="10920" xr:uid="{00000000-0005-0000-0000-0000E21B0000}"/>
    <cellStyle name="40% - Accent2 3 5" xfId="2054" xr:uid="{00000000-0005-0000-0000-0000E31B0000}"/>
    <cellStyle name="40% - Accent2 3 5 2" xfId="10933" xr:uid="{00000000-0005-0000-0000-0000E41B0000}"/>
    <cellStyle name="40% - Accent2 3 5 2 2" xfId="10934" xr:uid="{00000000-0005-0000-0000-0000E51B0000}"/>
    <cellStyle name="40% - Accent2 3 5 3" xfId="10935" xr:uid="{00000000-0005-0000-0000-0000E61B0000}"/>
    <cellStyle name="40% - Accent2 3 5 3 2" xfId="10936" xr:uid="{00000000-0005-0000-0000-0000E71B0000}"/>
    <cellStyle name="40% - Accent2 3 5 4" xfId="10937" xr:uid="{00000000-0005-0000-0000-0000E81B0000}"/>
    <cellStyle name="40% - Accent2 3 5 4 2" xfId="10938" xr:uid="{00000000-0005-0000-0000-0000E91B0000}"/>
    <cellStyle name="40% - Accent2 3 5 5" xfId="10939" xr:uid="{00000000-0005-0000-0000-0000EA1B0000}"/>
    <cellStyle name="40% - Accent2 3 5 6" xfId="10932" xr:uid="{00000000-0005-0000-0000-0000EB1B0000}"/>
    <cellStyle name="40% - Accent2 3 6" xfId="2428" xr:uid="{00000000-0005-0000-0000-0000EC1B0000}"/>
    <cellStyle name="40% - Accent2 3 6 2" xfId="10941" xr:uid="{00000000-0005-0000-0000-0000ED1B0000}"/>
    <cellStyle name="40% - Accent2 3 6 2 2" xfId="10942" xr:uid="{00000000-0005-0000-0000-0000EE1B0000}"/>
    <cellStyle name="40% - Accent2 3 6 3" xfId="10943" xr:uid="{00000000-0005-0000-0000-0000EF1B0000}"/>
    <cellStyle name="40% - Accent2 3 6 3 2" xfId="10944" xr:uid="{00000000-0005-0000-0000-0000F01B0000}"/>
    <cellStyle name="40% - Accent2 3 6 4" xfId="10945" xr:uid="{00000000-0005-0000-0000-0000F11B0000}"/>
    <cellStyle name="40% - Accent2 3 6 4 2" xfId="10946" xr:uid="{00000000-0005-0000-0000-0000F21B0000}"/>
    <cellStyle name="40% - Accent2 3 6 5" xfId="10947" xr:uid="{00000000-0005-0000-0000-0000F31B0000}"/>
    <cellStyle name="40% - Accent2 3 6 6" xfId="10940" xr:uid="{00000000-0005-0000-0000-0000F41B0000}"/>
    <cellStyle name="40% - Accent2 3 7" xfId="2800" xr:uid="{00000000-0005-0000-0000-0000F51B0000}"/>
    <cellStyle name="40% - Accent2 3 7 2" xfId="10949" xr:uid="{00000000-0005-0000-0000-0000F61B0000}"/>
    <cellStyle name="40% - Accent2 3 7 2 2" xfId="10950" xr:uid="{00000000-0005-0000-0000-0000F71B0000}"/>
    <cellStyle name="40% - Accent2 3 7 3" xfId="10951" xr:uid="{00000000-0005-0000-0000-0000F81B0000}"/>
    <cellStyle name="40% - Accent2 3 7 3 2" xfId="10952" xr:uid="{00000000-0005-0000-0000-0000F91B0000}"/>
    <cellStyle name="40% - Accent2 3 7 4" xfId="10953" xr:uid="{00000000-0005-0000-0000-0000FA1B0000}"/>
    <cellStyle name="40% - Accent2 3 7 4 2" xfId="10954" xr:uid="{00000000-0005-0000-0000-0000FB1B0000}"/>
    <cellStyle name="40% - Accent2 3 7 5" xfId="10955" xr:uid="{00000000-0005-0000-0000-0000FC1B0000}"/>
    <cellStyle name="40% - Accent2 3 7 6" xfId="10948" xr:uid="{00000000-0005-0000-0000-0000FD1B0000}"/>
    <cellStyle name="40% - Accent2 3 8" xfId="3171" xr:uid="{00000000-0005-0000-0000-0000FE1B0000}"/>
    <cellStyle name="40% - Accent2 3 8 2" xfId="10957" xr:uid="{00000000-0005-0000-0000-0000FF1B0000}"/>
    <cellStyle name="40% - Accent2 3 8 2 2" xfId="10958" xr:uid="{00000000-0005-0000-0000-0000001C0000}"/>
    <cellStyle name="40% - Accent2 3 8 3" xfId="10959" xr:uid="{00000000-0005-0000-0000-0000011C0000}"/>
    <cellStyle name="40% - Accent2 3 8 3 2" xfId="10960" xr:uid="{00000000-0005-0000-0000-0000021C0000}"/>
    <cellStyle name="40% - Accent2 3 8 4" xfId="10961" xr:uid="{00000000-0005-0000-0000-0000031C0000}"/>
    <cellStyle name="40% - Accent2 3 8 4 2" xfId="10962" xr:uid="{00000000-0005-0000-0000-0000041C0000}"/>
    <cellStyle name="40% - Accent2 3 8 5" xfId="10963" xr:uid="{00000000-0005-0000-0000-0000051C0000}"/>
    <cellStyle name="40% - Accent2 3 8 6" xfId="10956" xr:uid="{00000000-0005-0000-0000-0000061C0000}"/>
    <cellStyle name="40% - Accent2 3 9" xfId="3546" xr:uid="{00000000-0005-0000-0000-0000071C0000}"/>
    <cellStyle name="40% - Accent2 3 9 2" xfId="4507" xr:uid="{00000000-0005-0000-0000-0000081C0000}"/>
    <cellStyle name="40% - Accent2 3 9 2 2" xfId="10966" xr:uid="{00000000-0005-0000-0000-0000091C0000}"/>
    <cellStyle name="40% - Accent2 3 9 2 3" xfId="10965" xr:uid="{00000000-0005-0000-0000-00000A1C0000}"/>
    <cellStyle name="40% - Accent2 3 9 3" xfId="10967" xr:uid="{00000000-0005-0000-0000-00000B1C0000}"/>
    <cellStyle name="40% - Accent2 3 9 3 2" xfId="10968" xr:uid="{00000000-0005-0000-0000-00000C1C0000}"/>
    <cellStyle name="40% - Accent2 3 9 4" xfId="10969" xr:uid="{00000000-0005-0000-0000-00000D1C0000}"/>
    <cellStyle name="40% - Accent2 3 9 4 2" xfId="10970" xr:uid="{00000000-0005-0000-0000-00000E1C0000}"/>
    <cellStyle name="40% - Accent2 3 9 5" xfId="10971" xr:uid="{00000000-0005-0000-0000-00000F1C0000}"/>
    <cellStyle name="40% - Accent2 3 9 5 2" xfId="10972" xr:uid="{00000000-0005-0000-0000-0000101C0000}"/>
    <cellStyle name="40% - Accent2 3 9 6" xfId="10973" xr:uid="{00000000-0005-0000-0000-0000111C0000}"/>
    <cellStyle name="40% - Accent2 3 9 7" xfId="10964" xr:uid="{00000000-0005-0000-0000-0000121C0000}"/>
    <cellStyle name="40% - Accent2 30" xfId="28143" xr:uid="{00000000-0005-0000-0000-0000131C0000}"/>
    <cellStyle name="40% - Accent2 4" xfId="242" xr:uid="{00000000-0005-0000-0000-0000141C0000}"/>
    <cellStyle name="40% - Accent2 4 10" xfId="3726" xr:uid="{00000000-0005-0000-0000-0000151C0000}"/>
    <cellStyle name="40% - Accent2 4 10 2" xfId="4509" xr:uid="{00000000-0005-0000-0000-0000161C0000}"/>
    <cellStyle name="40% - Accent2 4 10 2 2" xfId="10977" xr:uid="{00000000-0005-0000-0000-0000171C0000}"/>
    <cellStyle name="40% - Accent2 4 10 2 3" xfId="10976" xr:uid="{00000000-0005-0000-0000-0000181C0000}"/>
    <cellStyle name="40% - Accent2 4 10 3" xfId="10978" xr:uid="{00000000-0005-0000-0000-0000191C0000}"/>
    <cellStyle name="40% - Accent2 4 10 3 2" xfId="10979" xr:uid="{00000000-0005-0000-0000-00001A1C0000}"/>
    <cellStyle name="40% - Accent2 4 10 4" xfId="10980" xr:uid="{00000000-0005-0000-0000-00001B1C0000}"/>
    <cellStyle name="40% - Accent2 4 10 4 2" xfId="10981" xr:uid="{00000000-0005-0000-0000-00001C1C0000}"/>
    <cellStyle name="40% - Accent2 4 10 5" xfId="10982" xr:uid="{00000000-0005-0000-0000-00001D1C0000}"/>
    <cellStyle name="40% - Accent2 4 10 5 2" xfId="10983" xr:uid="{00000000-0005-0000-0000-00001E1C0000}"/>
    <cellStyle name="40% - Accent2 4 10 6" xfId="10984" xr:uid="{00000000-0005-0000-0000-00001F1C0000}"/>
    <cellStyle name="40% - Accent2 4 10 7" xfId="10975" xr:uid="{00000000-0005-0000-0000-0000201C0000}"/>
    <cellStyle name="40% - Accent2 4 11" xfId="1299" xr:uid="{00000000-0005-0000-0000-0000211C0000}"/>
    <cellStyle name="40% - Accent2 4 11 10" xfId="24879" xr:uid="{00000000-0005-0000-0000-0000221C0000}"/>
    <cellStyle name="40% - Accent2 4 11 11" xfId="26281" xr:uid="{00000000-0005-0000-0000-0000231C0000}"/>
    <cellStyle name="40% - Accent2 4 11 2" xfId="4147" xr:uid="{00000000-0005-0000-0000-0000241C0000}"/>
    <cellStyle name="40% - Accent2 4 11 2 2" xfId="5390" xr:uid="{00000000-0005-0000-0000-0000251C0000}"/>
    <cellStyle name="40% - Accent2 4 11 2 2 2" xfId="6264" xr:uid="{00000000-0005-0000-0000-0000261C0000}"/>
    <cellStyle name="40% - Accent2 4 11 2 2 2 2" xfId="10988" xr:uid="{00000000-0005-0000-0000-0000271C0000}"/>
    <cellStyle name="40% - Accent2 4 11 2 2 2 3" xfId="26284" xr:uid="{00000000-0005-0000-0000-0000281C0000}"/>
    <cellStyle name="40% - Accent2 4 11 2 2 3" xfId="10987" xr:uid="{00000000-0005-0000-0000-0000291C0000}"/>
    <cellStyle name="40% - Accent2 4 11 2 2 4" xfId="26283" xr:uid="{00000000-0005-0000-0000-00002A1C0000}"/>
    <cellStyle name="40% - Accent2 4 11 2 3" xfId="5700" xr:uid="{00000000-0005-0000-0000-00002B1C0000}"/>
    <cellStyle name="40% - Accent2 4 11 2 3 2" xfId="6265" xr:uid="{00000000-0005-0000-0000-00002C1C0000}"/>
    <cellStyle name="40% - Accent2 4 11 2 3 2 2" xfId="26286" xr:uid="{00000000-0005-0000-0000-00002D1C0000}"/>
    <cellStyle name="40% - Accent2 4 11 2 3 3" xfId="10989" xr:uid="{00000000-0005-0000-0000-00002E1C0000}"/>
    <cellStyle name="40% - Accent2 4 11 2 3 4" xfId="26285" xr:uid="{00000000-0005-0000-0000-00002F1C0000}"/>
    <cellStyle name="40% - Accent2 4 11 2 4" xfId="4511" xr:uid="{00000000-0005-0000-0000-0000301C0000}"/>
    <cellStyle name="40% - Accent2 4 11 2 4 2" xfId="6266" xr:uid="{00000000-0005-0000-0000-0000311C0000}"/>
    <cellStyle name="40% - Accent2 4 11 2 4 2 2" xfId="26288" xr:uid="{00000000-0005-0000-0000-0000321C0000}"/>
    <cellStyle name="40% - Accent2 4 11 2 4 3" xfId="26287" xr:uid="{00000000-0005-0000-0000-0000331C0000}"/>
    <cellStyle name="40% - Accent2 4 11 2 5" xfId="6263" xr:uid="{00000000-0005-0000-0000-0000341C0000}"/>
    <cellStyle name="40% - Accent2 4 11 2 5 2" xfId="26289" xr:uid="{00000000-0005-0000-0000-0000351C0000}"/>
    <cellStyle name="40% - Accent2 4 11 2 6" xfId="10986" xr:uid="{00000000-0005-0000-0000-0000361C0000}"/>
    <cellStyle name="40% - Accent2 4 11 2 7" xfId="24999" xr:uid="{00000000-0005-0000-0000-0000371C0000}"/>
    <cellStyle name="40% - Accent2 4 11 2 8" xfId="26282" xr:uid="{00000000-0005-0000-0000-0000381C0000}"/>
    <cellStyle name="40% - Accent2 4 11 3" xfId="5389" xr:uid="{00000000-0005-0000-0000-0000391C0000}"/>
    <cellStyle name="40% - Accent2 4 11 3 2" xfId="6267" xr:uid="{00000000-0005-0000-0000-00003A1C0000}"/>
    <cellStyle name="40% - Accent2 4 11 3 2 2" xfId="10991" xr:uid="{00000000-0005-0000-0000-00003B1C0000}"/>
    <cellStyle name="40% - Accent2 4 11 3 2 3" xfId="26291" xr:uid="{00000000-0005-0000-0000-00003C1C0000}"/>
    <cellStyle name="40% - Accent2 4 11 3 3" xfId="10990" xr:uid="{00000000-0005-0000-0000-00003D1C0000}"/>
    <cellStyle name="40% - Accent2 4 11 3 4" xfId="26290" xr:uid="{00000000-0005-0000-0000-00003E1C0000}"/>
    <cellStyle name="40% - Accent2 4 11 4" xfId="5699" xr:uid="{00000000-0005-0000-0000-00003F1C0000}"/>
    <cellStyle name="40% - Accent2 4 11 4 2" xfId="6268" xr:uid="{00000000-0005-0000-0000-0000401C0000}"/>
    <cellStyle name="40% - Accent2 4 11 4 2 2" xfId="10993" xr:uid="{00000000-0005-0000-0000-0000411C0000}"/>
    <cellStyle name="40% - Accent2 4 11 4 2 3" xfId="26293" xr:uid="{00000000-0005-0000-0000-0000421C0000}"/>
    <cellStyle name="40% - Accent2 4 11 4 3" xfId="10992" xr:uid="{00000000-0005-0000-0000-0000431C0000}"/>
    <cellStyle name="40% - Accent2 4 11 4 4" xfId="26292" xr:uid="{00000000-0005-0000-0000-0000441C0000}"/>
    <cellStyle name="40% - Accent2 4 11 5" xfId="4510" xr:uid="{00000000-0005-0000-0000-0000451C0000}"/>
    <cellStyle name="40% - Accent2 4 11 5 2" xfId="6269" xr:uid="{00000000-0005-0000-0000-0000461C0000}"/>
    <cellStyle name="40% - Accent2 4 11 5 2 2" xfId="10996" xr:uid="{00000000-0005-0000-0000-0000471C0000}"/>
    <cellStyle name="40% - Accent2 4 11 5 2 3" xfId="10995" xr:uid="{00000000-0005-0000-0000-0000481C0000}"/>
    <cellStyle name="40% - Accent2 4 11 5 2 4" xfId="26295" xr:uid="{00000000-0005-0000-0000-0000491C0000}"/>
    <cellStyle name="40% - Accent2 4 11 5 3" xfId="10997" xr:uid="{00000000-0005-0000-0000-00004A1C0000}"/>
    <cellStyle name="40% - Accent2 4 11 5 3 2" xfId="10998" xr:uid="{00000000-0005-0000-0000-00004B1C0000}"/>
    <cellStyle name="40% - Accent2 4 11 5 4" xfId="10999" xr:uid="{00000000-0005-0000-0000-00004C1C0000}"/>
    <cellStyle name="40% - Accent2 4 11 5 5" xfId="10994" xr:uid="{00000000-0005-0000-0000-00004D1C0000}"/>
    <cellStyle name="40% - Accent2 4 11 5 6" xfId="26294" xr:uid="{00000000-0005-0000-0000-00004E1C0000}"/>
    <cellStyle name="40% - Accent2 4 11 6" xfId="6262" xr:uid="{00000000-0005-0000-0000-00004F1C0000}"/>
    <cellStyle name="40% - Accent2 4 11 6 2" xfId="11001" xr:uid="{00000000-0005-0000-0000-0000501C0000}"/>
    <cellStyle name="40% - Accent2 4 11 6 3" xfId="11000" xr:uid="{00000000-0005-0000-0000-0000511C0000}"/>
    <cellStyle name="40% - Accent2 4 11 6 4" xfId="26296" xr:uid="{00000000-0005-0000-0000-0000521C0000}"/>
    <cellStyle name="40% - Accent2 4 11 7" xfId="11002" xr:uid="{00000000-0005-0000-0000-0000531C0000}"/>
    <cellStyle name="40% - Accent2 4 11 7 2" xfId="11003" xr:uid="{00000000-0005-0000-0000-0000541C0000}"/>
    <cellStyle name="40% - Accent2 4 11 8" xfId="11004" xr:uid="{00000000-0005-0000-0000-0000551C0000}"/>
    <cellStyle name="40% - Accent2 4 11 9" xfId="10985" xr:uid="{00000000-0005-0000-0000-0000561C0000}"/>
    <cellStyle name="40% - Accent2 4 12" xfId="4512" xr:uid="{00000000-0005-0000-0000-0000571C0000}"/>
    <cellStyle name="40% - Accent2 4 12 2" xfId="5391" xr:uid="{00000000-0005-0000-0000-0000581C0000}"/>
    <cellStyle name="40% - Accent2 4 12 2 2" xfId="6271" xr:uid="{00000000-0005-0000-0000-0000591C0000}"/>
    <cellStyle name="40% - Accent2 4 12 2 2 2" xfId="11007" xr:uid="{00000000-0005-0000-0000-00005A1C0000}"/>
    <cellStyle name="40% - Accent2 4 12 2 2 3" xfId="26299" xr:uid="{00000000-0005-0000-0000-00005B1C0000}"/>
    <cellStyle name="40% - Accent2 4 12 2 3" xfId="11006" xr:uid="{00000000-0005-0000-0000-00005C1C0000}"/>
    <cellStyle name="40% - Accent2 4 12 2 4" xfId="26298" xr:uid="{00000000-0005-0000-0000-00005D1C0000}"/>
    <cellStyle name="40% - Accent2 4 12 3" xfId="5701" xr:uid="{00000000-0005-0000-0000-00005E1C0000}"/>
    <cellStyle name="40% - Accent2 4 12 3 2" xfId="6272" xr:uid="{00000000-0005-0000-0000-00005F1C0000}"/>
    <cellStyle name="40% - Accent2 4 12 3 2 2" xfId="11009" xr:uid="{00000000-0005-0000-0000-0000601C0000}"/>
    <cellStyle name="40% - Accent2 4 12 3 2 3" xfId="26301" xr:uid="{00000000-0005-0000-0000-0000611C0000}"/>
    <cellStyle name="40% - Accent2 4 12 3 3" xfId="11008" xr:uid="{00000000-0005-0000-0000-0000621C0000}"/>
    <cellStyle name="40% - Accent2 4 12 3 4" xfId="26300" xr:uid="{00000000-0005-0000-0000-0000631C0000}"/>
    <cellStyle name="40% - Accent2 4 12 4" xfId="6270" xr:uid="{00000000-0005-0000-0000-0000641C0000}"/>
    <cellStyle name="40% - Accent2 4 12 4 2" xfId="11011" xr:uid="{00000000-0005-0000-0000-0000651C0000}"/>
    <cellStyle name="40% - Accent2 4 12 4 3" xfId="11010" xr:uid="{00000000-0005-0000-0000-0000661C0000}"/>
    <cellStyle name="40% - Accent2 4 12 4 4" xfId="26302" xr:uid="{00000000-0005-0000-0000-0000671C0000}"/>
    <cellStyle name="40% - Accent2 4 12 5" xfId="11012" xr:uid="{00000000-0005-0000-0000-0000681C0000}"/>
    <cellStyle name="40% - Accent2 4 12 6" xfId="11005" xr:uid="{00000000-0005-0000-0000-0000691C0000}"/>
    <cellStyle name="40% - Accent2 4 12 7" xfId="26297" xr:uid="{00000000-0005-0000-0000-00006A1C0000}"/>
    <cellStyle name="40% - Accent2 4 13" xfId="5388" xr:uid="{00000000-0005-0000-0000-00006B1C0000}"/>
    <cellStyle name="40% - Accent2 4 13 2" xfId="6273" xr:uid="{00000000-0005-0000-0000-00006C1C0000}"/>
    <cellStyle name="40% - Accent2 4 13 2 2" xfId="11015" xr:uid="{00000000-0005-0000-0000-00006D1C0000}"/>
    <cellStyle name="40% - Accent2 4 13 2 3" xfId="11014" xr:uid="{00000000-0005-0000-0000-00006E1C0000}"/>
    <cellStyle name="40% - Accent2 4 13 2 4" xfId="26304" xr:uid="{00000000-0005-0000-0000-00006F1C0000}"/>
    <cellStyle name="40% - Accent2 4 13 3" xfId="11016" xr:uid="{00000000-0005-0000-0000-0000701C0000}"/>
    <cellStyle name="40% - Accent2 4 13 3 2" xfId="11017" xr:uid="{00000000-0005-0000-0000-0000711C0000}"/>
    <cellStyle name="40% - Accent2 4 13 4" xfId="11018" xr:uid="{00000000-0005-0000-0000-0000721C0000}"/>
    <cellStyle name="40% - Accent2 4 13 5" xfId="11013" xr:uid="{00000000-0005-0000-0000-0000731C0000}"/>
    <cellStyle name="40% - Accent2 4 13 6" xfId="26303" xr:uid="{00000000-0005-0000-0000-0000741C0000}"/>
    <cellStyle name="40% - Accent2 4 14" xfId="5698" xr:uid="{00000000-0005-0000-0000-0000751C0000}"/>
    <cellStyle name="40% - Accent2 4 14 2" xfId="6274" xr:uid="{00000000-0005-0000-0000-0000761C0000}"/>
    <cellStyle name="40% - Accent2 4 14 2 2" xfId="11020" xr:uid="{00000000-0005-0000-0000-0000771C0000}"/>
    <cellStyle name="40% - Accent2 4 14 2 3" xfId="26306" xr:uid="{00000000-0005-0000-0000-0000781C0000}"/>
    <cellStyle name="40% - Accent2 4 14 3" xfId="11019" xr:uid="{00000000-0005-0000-0000-0000791C0000}"/>
    <cellStyle name="40% - Accent2 4 14 4" xfId="26305" xr:uid="{00000000-0005-0000-0000-00007A1C0000}"/>
    <cellStyle name="40% - Accent2 4 15" xfId="4508" xr:uid="{00000000-0005-0000-0000-00007B1C0000}"/>
    <cellStyle name="40% - Accent2 4 15 2" xfId="6275" xr:uid="{00000000-0005-0000-0000-00007C1C0000}"/>
    <cellStyle name="40% - Accent2 4 15 2 2" xfId="11022" xr:uid="{00000000-0005-0000-0000-00007D1C0000}"/>
    <cellStyle name="40% - Accent2 4 15 2 3" xfId="26308" xr:uid="{00000000-0005-0000-0000-00007E1C0000}"/>
    <cellStyle name="40% - Accent2 4 15 3" xfId="11021" xr:uid="{00000000-0005-0000-0000-00007F1C0000}"/>
    <cellStyle name="40% - Accent2 4 15 4" xfId="26307" xr:uid="{00000000-0005-0000-0000-0000801C0000}"/>
    <cellStyle name="40% - Accent2 4 16" xfId="11023" xr:uid="{00000000-0005-0000-0000-0000811C0000}"/>
    <cellStyle name="40% - Accent2 4 16 2" xfId="11024" xr:uid="{00000000-0005-0000-0000-0000821C0000}"/>
    <cellStyle name="40% - Accent2 4 17" xfId="11025" xr:uid="{00000000-0005-0000-0000-0000831C0000}"/>
    <cellStyle name="40% - Accent2 4 17 2" xfId="11026" xr:uid="{00000000-0005-0000-0000-0000841C0000}"/>
    <cellStyle name="40% - Accent2 4 17 2 2" xfId="11027" xr:uid="{00000000-0005-0000-0000-0000851C0000}"/>
    <cellStyle name="40% - Accent2 4 17 3" xfId="11028" xr:uid="{00000000-0005-0000-0000-0000861C0000}"/>
    <cellStyle name="40% - Accent2 4 17 3 2" xfId="11029" xr:uid="{00000000-0005-0000-0000-0000871C0000}"/>
    <cellStyle name="40% - Accent2 4 17 4" xfId="11030" xr:uid="{00000000-0005-0000-0000-0000881C0000}"/>
    <cellStyle name="40% - Accent2 4 18" xfId="11031" xr:uid="{00000000-0005-0000-0000-0000891C0000}"/>
    <cellStyle name="40% - Accent2 4 18 2" xfId="11032" xr:uid="{00000000-0005-0000-0000-00008A1C0000}"/>
    <cellStyle name="40% - Accent2 4 19" xfId="11033" xr:uid="{00000000-0005-0000-0000-00008B1C0000}"/>
    <cellStyle name="40% - Accent2 4 19 2" xfId="11034" xr:uid="{00000000-0005-0000-0000-00008C1C0000}"/>
    <cellStyle name="40% - Accent2 4 2" xfId="1500" xr:uid="{00000000-0005-0000-0000-00008D1C0000}"/>
    <cellStyle name="40% - Accent2 4 2 10" xfId="11036" xr:uid="{00000000-0005-0000-0000-00008E1C0000}"/>
    <cellStyle name="40% - Accent2 4 2 10 2" xfId="11037" xr:uid="{00000000-0005-0000-0000-00008F1C0000}"/>
    <cellStyle name="40% - Accent2 4 2 10 2 2" xfId="11038" xr:uid="{00000000-0005-0000-0000-0000901C0000}"/>
    <cellStyle name="40% - Accent2 4 2 10 3" xfId="11039" xr:uid="{00000000-0005-0000-0000-0000911C0000}"/>
    <cellStyle name="40% - Accent2 4 2 10 3 2" xfId="11040" xr:uid="{00000000-0005-0000-0000-0000921C0000}"/>
    <cellStyle name="40% - Accent2 4 2 10 4" xfId="11041" xr:uid="{00000000-0005-0000-0000-0000931C0000}"/>
    <cellStyle name="40% - Accent2 4 2 11" xfId="11042" xr:uid="{00000000-0005-0000-0000-0000941C0000}"/>
    <cellStyle name="40% - Accent2 4 2 11 2" xfId="11043" xr:uid="{00000000-0005-0000-0000-0000951C0000}"/>
    <cellStyle name="40% - Accent2 4 2 11 2 2" xfId="11044" xr:uid="{00000000-0005-0000-0000-0000961C0000}"/>
    <cellStyle name="40% - Accent2 4 2 11 3" xfId="11045" xr:uid="{00000000-0005-0000-0000-0000971C0000}"/>
    <cellStyle name="40% - Accent2 4 2 11 3 2" xfId="11046" xr:uid="{00000000-0005-0000-0000-0000981C0000}"/>
    <cellStyle name="40% - Accent2 4 2 11 4" xfId="11047" xr:uid="{00000000-0005-0000-0000-0000991C0000}"/>
    <cellStyle name="40% - Accent2 4 2 12" xfId="11048" xr:uid="{00000000-0005-0000-0000-00009A1C0000}"/>
    <cellStyle name="40% - Accent2 4 2 12 2" xfId="11049" xr:uid="{00000000-0005-0000-0000-00009B1C0000}"/>
    <cellStyle name="40% - Accent2 4 2 12 2 2" xfId="11050" xr:uid="{00000000-0005-0000-0000-00009C1C0000}"/>
    <cellStyle name="40% - Accent2 4 2 12 3" xfId="11051" xr:uid="{00000000-0005-0000-0000-00009D1C0000}"/>
    <cellStyle name="40% - Accent2 4 2 12 3 2" xfId="11052" xr:uid="{00000000-0005-0000-0000-00009E1C0000}"/>
    <cellStyle name="40% - Accent2 4 2 12 4" xfId="11053" xr:uid="{00000000-0005-0000-0000-00009F1C0000}"/>
    <cellStyle name="40% - Accent2 4 2 13" xfId="11054" xr:uid="{00000000-0005-0000-0000-0000A01C0000}"/>
    <cellStyle name="40% - Accent2 4 2 13 2" xfId="11055" xr:uid="{00000000-0005-0000-0000-0000A11C0000}"/>
    <cellStyle name="40% - Accent2 4 2 14" xfId="11056" xr:uid="{00000000-0005-0000-0000-0000A21C0000}"/>
    <cellStyle name="40% - Accent2 4 2 14 2" xfId="11057" xr:uid="{00000000-0005-0000-0000-0000A31C0000}"/>
    <cellStyle name="40% - Accent2 4 2 15" xfId="11058" xr:uid="{00000000-0005-0000-0000-0000A41C0000}"/>
    <cellStyle name="40% - Accent2 4 2 15 2" xfId="11059" xr:uid="{00000000-0005-0000-0000-0000A51C0000}"/>
    <cellStyle name="40% - Accent2 4 2 16" xfId="11060" xr:uid="{00000000-0005-0000-0000-0000A61C0000}"/>
    <cellStyle name="40% - Accent2 4 2 16 2" xfId="11061" xr:uid="{00000000-0005-0000-0000-0000A71C0000}"/>
    <cellStyle name="40% - Accent2 4 2 17" xfId="11062" xr:uid="{00000000-0005-0000-0000-0000A81C0000}"/>
    <cellStyle name="40% - Accent2 4 2 18" xfId="11035" xr:uid="{00000000-0005-0000-0000-0000A91C0000}"/>
    <cellStyle name="40% - Accent2 4 2 2" xfId="4513" xr:uid="{00000000-0005-0000-0000-0000AA1C0000}"/>
    <cellStyle name="40% - Accent2 4 2 2 2" xfId="11064" xr:uid="{00000000-0005-0000-0000-0000AB1C0000}"/>
    <cellStyle name="40% - Accent2 4 2 2 2 2" xfId="11065" xr:uid="{00000000-0005-0000-0000-0000AC1C0000}"/>
    <cellStyle name="40% - Accent2 4 2 2 3" xfId="11066" xr:uid="{00000000-0005-0000-0000-0000AD1C0000}"/>
    <cellStyle name="40% - Accent2 4 2 2 3 2" xfId="11067" xr:uid="{00000000-0005-0000-0000-0000AE1C0000}"/>
    <cellStyle name="40% - Accent2 4 2 2 4" xfId="11068" xr:uid="{00000000-0005-0000-0000-0000AF1C0000}"/>
    <cellStyle name="40% - Accent2 4 2 2 5" xfId="11063" xr:uid="{00000000-0005-0000-0000-0000B01C0000}"/>
    <cellStyle name="40% - Accent2 4 2 3" xfId="11069" xr:uid="{00000000-0005-0000-0000-0000B11C0000}"/>
    <cellStyle name="40% - Accent2 4 2 3 2" xfId="11070" xr:uid="{00000000-0005-0000-0000-0000B21C0000}"/>
    <cellStyle name="40% - Accent2 4 2 3 2 2" xfId="11071" xr:uid="{00000000-0005-0000-0000-0000B31C0000}"/>
    <cellStyle name="40% - Accent2 4 2 3 3" xfId="11072" xr:uid="{00000000-0005-0000-0000-0000B41C0000}"/>
    <cellStyle name="40% - Accent2 4 2 3 3 2" xfId="11073" xr:uid="{00000000-0005-0000-0000-0000B51C0000}"/>
    <cellStyle name="40% - Accent2 4 2 3 4" xfId="11074" xr:uid="{00000000-0005-0000-0000-0000B61C0000}"/>
    <cellStyle name="40% - Accent2 4 2 4" xfId="11075" xr:uid="{00000000-0005-0000-0000-0000B71C0000}"/>
    <cellStyle name="40% - Accent2 4 2 4 2" xfId="11076" xr:uid="{00000000-0005-0000-0000-0000B81C0000}"/>
    <cellStyle name="40% - Accent2 4 2 4 2 2" xfId="11077" xr:uid="{00000000-0005-0000-0000-0000B91C0000}"/>
    <cellStyle name="40% - Accent2 4 2 4 3" xfId="11078" xr:uid="{00000000-0005-0000-0000-0000BA1C0000}"/>
    <cellStyle name="40% - Accent2 4 2 4 3 2" xfId="11079" xr:uid="{00000000-0005-0000-0000-0000BB1C0000}"/>
    <cellStyle name="40% - Accent2 4 2 4 4" xfId="11080" xr:uid="{00000000-0005-0000-0000-0000BC1C0000}"/>
    <cellStyle name="40% - Accent2 4 2 5" xfId="11081" xr:uid="{00000000-0005-0000-0000-0000BD1C0000}"/>
    <cellStyle name="40% - Accent2 4 2 5 2" xfId="11082" xr:uid="{00000000-0005-0000-0000-0000BE1C0000}"/>
    <cellStyle name="40% - Accent2 4 2 5 2 2" xfId="11083" xr:uid="{00000000-0005-0000-0000-0000BF1C0000}"/>
    <cellStyle name="40% - Accent2 4 2 5 3" xfId="11084" xr:uid="{00000000-0005-0000-0000-0000C01C0000}"/>
    <cellStyle name="40% - Accent2 4 2 5 3 2" xfId="11085" xr:uid="{00000000-0005-0000-0000-0000C11C0000}"/>
    <cellStyle name="40% - Accent2 4 2 5 4" xfId="11086" xr:uid="{00000000-0005-0000-0000-0000C21C0000}"/>
    <cellStyle name="40% - Accent2 4 2 6" xfId="11087" xr:uid="{00000000-0005-0000-0000-0000C31C0000}"/>
    <cellStyle name="40% - Accent2 4 2 6 2" xfId="11088" xr:uid="{00000000-0005-0000-0000-0000C41C0000}"/>
    <cellStyle name="40% - Accent2 4 2 6 2 2" xfId="11089" xr:uid="{00000000-0005-0000-0000-0000C51C0000}"/>
    <cellStyle name="40% - Accent2 4 2 6 3" xfId="11090" xr:uid="{00000000-0005-0000-0000-0000C61C0000}"/>
    <cellStyle name="40% - Accent2 4 2 6 3 2" xfId="11091" xr:uid="{00000000-0005-0000-0000-0000C71C0000}"/>
    <cellStyle name="40% - Accent2 4 2 6 4" xfId="11092" xr:uid="{00000000-0005-0000-0000-0000C81C0000}"/>
    <cellStyle name="40% - Accent2 4 2 7" xfId="11093" xr:uid="{00000000-0005-0000-0000-0000C91C0000}"/>
    <cellStyle name="40% - Accent2 4 2 7 2" xfId="11094" xr:uid="{00000000-0005-0000-0000-0000CA1C0000}"/>
    <cellStyle name="40% - Accent2 4 2 7 2 2" xfId="11095" xr:uid="{00000000-0005-0000-0000-0000CB1C0000}"/>
    <cellStyle name="40% - Accent2 4 2 7 3" xfId="11096" xr:uid="{00000000-0005-0000-0000-0000CC1C0000}"/>
    <cellStyle name="40% - Accent2 4 2 7 3 2" xfId="11097" xr:uid="{00000000-0005-0000-0000-0000CD1C0000}"/>
    <cellStyle name="40% - Accent2 4 2 7 4" xfId="11098" xr:uid="{00000000-0005-0000-0000-0000CE1C0000}"/>
    <cellStyle name="40% - Accent2 4 2 8" xfId="11099" xr:uid="{00000000-0005-0000-0000-0000CF1C0000}"/>
    <cellStyle name="40% - Accent2 4 2 8 2" xfId="11100" xr:uid="{00000000-0005-0000-0000-0000D01C0000}"/>
    <cellStyle name="40% - Accent2 4 2 8 2 2" xfId="11101" xr:uid="{00000000-0005-0000-0000-0000D11C0000}"/>
    <cellStyle name="40% - Accent2 4 2 8 3" xfId="11102" xr:uid="{00000000-0005-0000-0000-0000D21C0000}"/>
    <cellStyle name="40% - Accent2 4 2 8 3 2" xfId="11103" xr:uid="{00000000-0005-0000-0000-0000D31C0000}"/>
    <cellStyle name="40% - Accent2 4 2 8 4" xfId="11104" xr:uid="{00000000-0005-0000-0000-0000D41C0000}"/>
    <cellStyle name="40% - Accent2 4 2 9" xfId="11105" xr:uid="{00000000-0005-0000-0000-0000D51C0000}"/>
    <cellStyle name="40% - Accent2 4 2 9 2" xfId="11106" xr:uid="{00000000-0005-0000-0000-0000D61C0000}"/>
    <cellStyle name="40% - Accent2 4 2 9 2 2" xfId="11107" xr:uid="{00000000-0005-0000-0000-0000D71C0000}"/>
    <cellStyle name="40% - Accent2 4 2 9 3" xfId="11108" xr:uid="{00000000-0005-0000-0000-0000D81C0000}"/>
    <cellStyle name="40% - Accent2 4 2 9 3 2" xfId="11109" xr:uid="{00000000-0005-0000-0000-0000D91C0000}"/>
    <cellStyle name="40% - Accent2 4 2 9 4" xfId="11110" xr:uid="{00000000-0005-0000-0000-0000DA1C0000}"/>
    <cellStyle name="40% - Accent2 4 20" xfId="11111" xr:uid="{00000000-0005-0000-0000-0000DB1C0000}"/>
    <cellStyle name="40% - Accent2 4 21" xfId="10974" xr:uid="{00000000-0005-0000-0000-0000DC1C0000}"/>
    <cellStyle name="40% - Accent2 4 3" xfId="1625" xr:uid="{00000000-0005-0000-0000-0000DD1C0000}"/>
    <cellStyle name="40% - Accent2 4 3 2" xfId="4514" xr:uid="{00000000-0005-0000-0000-0000DE1C0000}"/>
    <cellStyle name="40% - Accent2 4 3 2 2" xfId="11114" xr:uid="{00000000-0005-0000-0000-0000DF1C0000}"/>
    <cellStyle name="40% - Accent2 4 3 2 3" xfId="11113" xr:uid="{00000000-0005-0000-0000-0000E01C0000}"/>
    <cellStyle name="40% - Accent2 4 3 3" xfId="11115" xr:uid="{00000000-0005-0000-0000-0000E11C0000}"/>
    <cellStyle name="40% - Accent2 4 3 3 2" xfId="11116" xr:uid="{00000000-0005-0000-0000-0000E21C0000}"/>
    <cellStyle name="40% - Accent2 4 3 4" xfId="11117" xr:uid="{00000000-0005-0000-0000-0000E31C0000}"/>
    <cellStyle name="40% - Accent2 4 3 4 2" xfId="11118" xr:uid="{00000000-0005-0000-0000-0000E41C0000}"/>
    <cellStyle name="40% - Accent2 4 3 5" xfId="11119" xr:uid="{00000000-0005-0000-0000-0000E51C0000}"/>
    <cellStyle name="40% - Accent2 4 3 5 2" xfId="11120" xr:uid="{00000000-0005-0000-0000-0000E61C0000}"/>
    <cellStyle name="40% - Accent2 4 3 6" xfId="11121" xr:uid="{00000000-0005-0000-0000-0000E71C0000}"/>
    <cellStyle name="40% - Accent2 4 3 7" xfId="11112" xr:uid="{00000000-0005-0000-0000-0000E81C0000}"/>
    <cellStyle name="40% - Accent2 4 4" xfId="1755" xr:uid="{00000000-0005-0000-0000-0000E91C0000}"/>
    <cellStyle name="40% - Accent2 4 4 2" xfId="11123" xr:uid="{00000000-0005-0000-0000-0000EA1C0000}"/>
    <cellStyle name="40% - Accent2 4 4 2 2" xfId="11124" xr:uid="{00000000-0005-0000-0000-0000EB1C0000}"/>
    <cellStyle name="40% - Accent2 4 4 3" xfId="11125" xr:uid="{00000000-0005-0000-0000-0000EC1C0000}"/>
    <cellStyle name="40% - Accent2 4 4 3 2" xfId="11126" xr:uid="{00000000-0005-0000-0000-0000ED1C0000}"/>
    <cellStyle name="40% - Accent2 4 4 4" xfId="11127" xr:uid="{00000000-0005-0000-0000-0000EE1C0000}"/>
    <cellStyle name="40% - Accent2 4 4 4 2" xfId="11128" xr:uid="{00000000-0005-0000-0000-0000EF1C0000}"/>
    <cellStyle name="40% - Accent2 4 4 5" xfId="11129" xr:uid="{00000000-0005-0000-0000-0000F01C0000}"/>
    <cellStyle name="40% - Accent2 4 4 6" xfId="11122" xr:uid="{00000000-0005-0000-0000-0000F11C0000}"/>
    <cellStyle name="40% - Accent2 4 5" xfId="2090" xr:uid="{00000000-0005-0000-0000-0000F21C0000}"/>
    <cellStyle name="40% - Accent2 4 5 2" xfId="11131" xr:uid="{00000000-0005-0000-0000-0000F31C0000}"/>
    <cellStyle name="40% - Accent2 4 5 2 2" xfId="11132" xr:uid="{00000000-0005-0000-0000-0000F41C0000}"/>
    <cellStyle name="40% - Accent2 4 5 3" xfId="11133" xr:uid="{00000000-0005-0000-0000-0000F51C0000}"/>
    <cellStyle name="40% - Accent2 4 5 3 2" xfId="11134" xr:uid="{00000000-0005-0000-0000-0000F61C0000}"/>
    <cellStyle name="40% - Accent2 4 5 4" xfId="11135" xr:uid="{00000000-0005-0000-0000-0000F71C0000}"/>
    <cellStyle name="40% - Accent2 4 5 4 2" xfId="11136" xr:uid="{00000000-0005-0000-0000-0000F81C0000}"/>
    <cellStyle name="40% - Accent2 4 5 5" xfId="11137" xr:uid="{00000000-0005-0000-0000-0000F91C0000}"/>
    <cellStyle name="40% - Accent2 4 5 6" xfId="11130" xr:uid="{00000000-0005-0000-0000-0000FA1C0000}"/>
    <cellStyle name="40% - Accent2 4 6" xfId="2464" xr:uid="{00000000-0005-0000-0000-0000FB1C0000}"/>
    <cellStyle name="40% - Accent2 4 6 2" xfId="11139" xr:uid="{00000000-0005-0000-0000-0000FC1C0000}"/>
    <cellStyle name="40% - Accent2 4 6 2 2" xfId="11140" xr:uid="{00000000-0005-0000-0000-0000FD1C0000}"/>
    <cellStyle name="40% - Accent2 4 6 3" xfId="11141" xr:uid="{00000000-0005-0000-0000-0000FE1C0000}"/>
    <cellStyle name="40% - Accent2 4 6 3 2" xfId="11142" xr:uid="{00000000-0005-0000-0000-0000FF1C0000}"/>
    <cellStyle name="40% - Accent2 4 6 4" xfId="11143" xr:uid="{00000000-0005-0000-0000-0000001D0000}"/>
    <cellStyle name="40% - Accent2 4 6 4 2" xfId="11144" xr:uid="{00000000-0005-0000-0000-0000011D0000}"/>
    <cellStyle name="40% - Accent2 4 6 5" xfId="11145" xr:uid="{00000000-0005-0000-0000-0000021D0000}"/>
    <cellStyle name="40% - Accent2 4 6 6" xfId="11138" xr:uid="{00000000-0005-0000-0000-0000031D0000}"/>
    <cellStyle name="40% - Accent2 4 7" xfId="2836" xr:uid="{00000000-0005-0000-0000-0000041D0000}"/>
    <cellStyle name="40% - Accent2 4 7 2" xfId="11147" xr:uid="{00000000-0005-0000-0000-0000051D0000}"/>
    <cellStyle name="40% - Accent2 4 7 2 2" xfId="11148" xr:uid="{00000000-0005-0000-0000-0000061D0000}"/>
    <cellStyle name="40% - Accent2 4 7 3" xfId="11149" xr:uid="{00000000-0005-0000-0000-0000071D0000}"/>
    <cellStyle name="40% - Accent2 4 7 3 2" xfId="11150" xr:uid="{00000000-0005-0000-0000-0000081D0000}"/>
    <cellStyle name="40% - Accent2 4 7 4" xfId="11151" xr:uid="{00000000-0005-0000-0000-0000091D0000}"/>
    <cellStyle name="40% - Accent2 4 7 4 2" xfId="11152" xr:uid="{00000000-0005-0000-0000-00000A1D0000}"/>
    <cellStyle name="40% - Accent2 4 7 5" xfId="11153" xr:uid="{00000000-0005-0000-0000-00000B1D0000}"/>
    <cellStyle name="40% - Accent2 4 7 6" xfId="11146" xr:uid="{00000000-0005-0000-0000-00000C1D0000}"/>
    <cellStyle name="40% - Accent2 4 8" xfId="3207" xr:uid="{00000000-0005-0000-0000-00000D1D0000}"/>
    <cellStyle name="40% - Accent2 4 8 2" xfId="11155" xr:uid="{00000000-0005-0000-0000-00000E1D0000}"/>
    <cellStyle name="40% - Accent2 4 8 2 2" xfId="11156" xr:uid="{00000000-0005-0000-0000-00000F1D0000}"/>
    <cellStyle name="40% - Accent2 4 8 3" xfId="11157" xr:uid="{00000000-0005-0000-0000-0000101D0000}"/>
    <cellStyle name="40% - Accent2 4 8 3 2" xfId="11158" xr:uid="{00000000-0005-0000-0000-0000111D0000}"/>
    <cellStyle name="40% - Accent2 4 8 4" xfId="11159" xr:uid="{00000000-0005-0000-0000-0000121D0000}"/>
    <cellStyle name="40% - Accent2 4 8 4 2" xfId="11160" xr:uid="{00000000-0005-0000-0000-0000131D0000}"/>
    <cellStyle name="40% - Accent2 4 8 5" xfId="11161" xr:uid="{00000000-0005-0000-0000-0000141D0000}"/>
    <cellStyle name="40% - Accent2 4 8 6" xfId="11154" xr:uid="{00000000-0005-0000-0000-0000151D0000}"/>
    <cellStyle name="40% - Accent2 4 9" xfId="3589" xr:uid="{00000000-0005-0000-0000-0000161D0000}"/>
    <cellStyle name="40% - Accent2 4 9 2" xfId="4515" xr:uid="{00000000-0005-0000-0000-0000171D0000}"/>
    <cellStyle name="40% - Accent2 4 9 2 2" xfId="11164" xr:uid="{00000000-0005-0000-0000-0000181D0000}"/>
    <cellStyle name="40% - Accent2 4 9 2 3" xfId="11163" xr:uid="{00000000-0005-0000-0000-0000191D0000}"/>
    <cellStyle name="40% - Accent2 4 9 3" xfId="11165" xr:uid="{00000000-0005-0000-0000-00001A1D0000}"/>
    <cellStyle name="40% - Accent2 4 9 3 2" xfId="11166" xr:uid="{00000000-0005-0000-0000-00001B1D0000}"/>
    <cellStyle name="40% - Accent2 4 9 4" xfId="11167" xr:uid="{00000000-0005-0000-0000-00001C1D0000}"/>
    <cellStyle name="40% - Accent2 4 9 4 2" xfId="11168" xr:uid="{00000000-0005-0000-0000-00001D1D0000}"/>
    <cellStyle name="40% - Accent2 4 9 5" xfId="11169" xr:uid="{00000000-0005-0000-0000-00001E1D0000}"/>
    <cellStyle name="40% - Accent2 4 9 5 2" xfId="11170" xr:uid="{00000000-0005-0000-0000-00001F1D0000}"/>
    <cellStyle name="40% - Accent2 4 9 6" xfId="11171" xr:uid="{00000000-0005-0000-0000-0000201D0000}"/>
    <cellStyle name="40% - Accent2 4 9 7" xfId="11162" xr:uid="{00000000-0005-0000-0000-0000211D0000}"/>
    <cellStyle name="40% - Accent2 5" xfId="387" xr:uid="{00000000-0005-0000-0000-0000221D0000}"/>
    <cellStyle name="40% - Accent2 5 10" xfId="11173" xr:uid="{00000000-0005-0000-0000-0000231D0000}"/>
    <cellStyle name="40% - Accent2 5 10 2" xfId="11174" xr:uid="{00000000-0005-0000-0000-0000241D0000}"/>
    <cellStyle name="40% - Accent2 5 10 2 2" xfId="11175" xr:uid="{00000000-0005-0000-0000-0000251D0000}"/>
    <cellStyle name="40% - Accent2 5 10 3" xfId="11176" xr:uid="{00000000-0005-0000-0000-0000261D0000}"/>
    <cellStyle name="40% - Accent2 5 10 3 2" xfId="11177" xr:uid="{00000000-0005-0000-0000-0000271D0000}"/>
    <cellStyle name="40% - Accent2 5 10 4" xfId="11178" xr:uid="{00000000-0005-0000-0000-0000281D0000}"/>
    <cellStyle name="40% - Accent2 5 11" xfId="11179" xr:uid="{00000000-0005-0000-0000-0000291D0000}"/>
    <cellStyle name="40% - Accent2 5 11 2" xfId="11180" xr:uid="{00000000-0005-0000-0000-00002A1D0000}"/>
    <cellStyle name="40% - Accent2 5 11 2 2" xfId="11181" xr:uid="{00000000-0005-0000-0000-00002B1D0000}"/>
    <cellStyle name="40% - Accent2 5 11 3" xfId="11182" xr:uid="{00000000-0005-0000-0000-00002C1D0000}"/>
    <cellStyle name="40% - Accent2 5 11 3 2" xfId="11183" xr:uid="{00000000-0005-0000-0000-00002D1D0000}"/>
    <cellStyle name="40% - Accent2 5 11 4" xfId="11184" xr:uid="{00000000-0005-0000-0000-00002E1D0000}"/>
    <cellStyle name="40% - Accent2 5 12" xfId="11185" xr:uid="{00000000-0005-0000-0000-00002F1D0000}"/>
    <cellStyle name="40% - Accent2 5 12 2" xfId="11186" xr:uid="{00000000-0005-0000-0000-0000301D0000}"/>
    <cellStyle name="40% - Accent2 5 12 2 2" xfId="11187" xr:uid="{00000000-0005-0000-0000-0000311D0000}"/>
    <cellStyle name="40% - Accent2 5 12 3" xfId="11188" xr:uid="{00000000-0005-0000-0000-0000321D0000}"/>
    <cellStyle name="40% - Accent2 5 12 3 2" xfId="11189" xr:uid="{00000000-0005-0000-0000-0000331D0000}"/>
    <cellStyle name="40% - Accent2 5 12 4" xfId="11190" xr:uid="{00000000-0005-0000-0000-0000341D0000}"/>
    <cellStyle name="40% - Accent2 5 13" xfId="11191" xr:uid="{00000000-0005-0000-0000-0000351D0000}"/>
    <cellStyle name="40% - Accent2 5 13 2" xfId="11192" xr:uid="{00000000-0005-0000-0000-0000361D0000}"/>
    <cellStyle name="40% - Accent2 5 13 2 2" xfId="11193" xr:uid="{00000000-0005-0000-0000-0000371D0000}"/>
    <cellStyle name="40% - Accent2 5 13 3" xfId="11194" xr:uid="{00000000-0005-0000-0000-0000381D0000}"/>
    <cellStyle name="40% - Accent2 5 13 3 2" xfId="11195" xr:uid="{00000000-0005-0000-0000-0000391D0000}"/>
    <cellStyle name="40% - Accent2 5 13 4" xfId="11196" xr:uid="{00000000-0005-0000-0000-00003A1D0000}"/>
    <cellStyle name="40% - Accent2 5 14" xfId="11197" xr:uid="{00000000-0005-0000-0000-00003B1D0000}"/>
    <cellStyle name="40% - Accent2 5 14 2" xfId="11198" xr:uid="{00000000-0005-0000-0000-00003C1D0000}"/>
    <cellStyle name="40% - Accent2 5 15" xfId="11199" xr:uid="{00000000-0005-0000-0000-00003D1D0000}"/>
    <cellStyle name="40% - Accent2 5 15 2" xfId="11200" xr:uid="{00000000-0005-0000-0000-00003E1D0000}"/>
    <cellStyle name="40% - Accent2 5 16" xfId="11201" xr:uid="{00000000-0005-0000-0000-00003F1D0000}"/>
    <cellStyle name="40% - Accent2 5 16 2" xfId="11202" xr:uid="{00000000-0005-0000-0000-0000401D0000}"/>
    <cellStyle name="40% - Accent2 5 17" xfId="11203" xr:uid="{00000000-0005-0000-0000-0000411D0000}"/>
    <cellStyle name="40% - Accent2 5 17 2" xfId="11204" xr:uid="{00000000-0005-0000-0000-0000421D0000}"/>
    <cellStyle name="40% - Accent2 5 18" xfId="11205" xr:uid="{00000000-0005-0000-0000-0000431D0000}"/>
    <cellStyle name="40% - Accent2 5 19" xfId="11172" xr:uid="{00000000-0005-0000-0000-0000441D0000}"/>
    <cellStyle name="40% - Accent2 5 2" xfId="1861" xr:uid="{00000000-0005-0000-0000-0000451D0000}"/>
    <cellStyle name="40% - Accent2 5 2 10" xfId="11207" xr:uid="{00000000-0005-0000-0000-0000461D0000}"/>
    <cellStyle name="40% - Accent2 5 2 10 2" xfId="11208" xr:uid="{00000000-0005-0000-0000-0000471D0000}"/>
    <cellStyle name="40% - Accent2 5 2 10 2 2" xfId="11209" xr:uid="{00000000-0005-0000-0000-0000481D0000}"/>
    <cellStyle name="40% - Accent2 5 2 10 3" xfId="11210" xr:uid="{00000000-0005-0000-0000-0000491D0000}"/>
    <cellStyle name="40% - Accent2 5 2 10 3 2" xfId="11211" xr:uid="{00000000-0005-0000-0000-00004A1D0000}"/>
    <cellStyle name="40% - Accent2 5 2 10 4" xfId="11212" xr:uid="{00000000-0005-0000-0000-00004B1D0000}"/>
    <cellStyle name="40% - Accent2 5 2 11" xfId="11213" xr:uid="{00000000-0005-0000-0000-00004C1D0000}"/>
    <cellStyle name="40% - Accent2 5 2 11 2" xfId="11214" xr:uid="{00000000-0005-0000-0000-00004D1D0000}"/>
    <cellStyle name="40% - Accent2 5 2 11 2 2" xfId="11215" xr:uid="{00000000-0005-0000-0000-00004E1D0000}"/>
    <cellStyle name="40% - Accent2 5 2 11 3" xfId="11216" xr:uid="{00000000-0005-0000-0000-00004F1D0000}"/>
    <cellStyle name="40% - Accent2 5 2 11 3 2" xfId="11217" xr:uid="{00000000-0005-0000-0000-0000501D0000}"/>
    <cellStyle name="40% - Accent2 5 2 11 4" xfId="11218" xr:uid="{00000000-0005-0000-0000-0000511D0000}"/>
    <cellStyle name="40% - Accent2 5 2 12" xfId="11219" xr:uid="{00000000-0005-0000-0000-0000521D0000}"/>
    <cellStyle name="40% - Accent2 5 2 12 2" xfId="11220" xr:uid="{00000000-0005-0000-0000-0000531D0000}"/>
    <cellStyle name="40% - Accent2 5 2 12 2 2" xfId="11221" xr:uid="{00000000-0005-0000-0000-0000541D0000}"/>
    <cellStyle name="40% - Accent2 5 2 12 3" xfId="11222" xr:uid="{00000000-0005-0000-0000-0000551D0000}"/>
    <cellStyle name="40% - Accent2 5 2 12 3 2" xfId="11223" xr:uid="{00000000-0005-0000-0000-0000561D0000}"/>
    <cellStyle name="40% - Accent2 5 2 12 4" xfId="11224" xr:uid="{00000000-0005-0000-0000-0000571D0000}"/>
    <cellStyle name="40% - Accent2 5 2 13" xfId="11225" xr:uid="{00000000-0005-0000-0000-0000581D0000}"/>
    <cellStyle name="40% - Accent2 5 2 13 2" xfId="11226" xr:uid="{00000000-0005-0000-0000-0000591D0000}"/>
    <cellStyle name="40% - Accent2 5 2 14" xfId="11227" xr:uid="{00000000-0005-0000-0000-00005A1D0000}"/>
    <cellStyle name="40% - Accent2 5 2 14 2" xfId="11228" xr:uid="{00000000-0005-0000-0000-00005B1D0000}"/>
    <cellStyle name="40% - Accent2 5 2 15" xfId="11229" xr:uid="{00000000-0005-0000-0000-00005C1D0000}"/>
    <cellStyle name="40% - Accent2 5 2 15 2" xfId="11230" xr:uid="{00000000-0005-0000-0000-00005D1D0000}"/>
    <cellStyle name="40% - Accent2 5 2 16" xfId="11231" xr:uid="{00000000-0005-0000-0000-00005E1D0000}"/>
    <cellStyle name="40% - Accent2 5 2 17" xfId="11206" xr:uid="{00000000-0005-0000-0000-00005F1D0000}"/>
    <cellStyle name="40% - Accent2 5 2 2" xfId="11232" xr:uid="{00000000-0005-0000-0000-0000601D0000}"/>
    <cellStyle name="40% - Accent2 5 2 2 2" xfId="11233" xr:uid="{00000000-0005-0000-0000-0000611D0000}"/>
    <cellStyle name="40% - Accent2 5 2 2 2 2" xfId="11234" xr:uid="{00000000-0005-0000-0000-0000621D0000}"/>
    <cellStyle name="40% - Accent2 5 2 2 3" xfId="11235" xr:uid="{00000000-0005-0000-0000-0000631D0000}"/>
    <cellStyle name="40% - Accent2 5 2 2 3 2" xfId="11236" xr:uid="{00000000-0005-0000-0000-0000641D0000}"/>
    <cellStyle name="40% - Accent2 5 2 2 4" xfId="11237" xr:uid="{00000000-0005-0000-0000-0000651D0000}"/>
    <cellStyle name="40% - Accent2 5 2 3" xfId="11238" xr:uid="{00000000-0005-0000-0000-0000661D0000}"/>
    <cellStyle name="40% - Accent2 5 2 3 2" xfId="11239" xr:uid="{00000000-0005-0000-0000-0000671D0000}"/>
    <cellStyle name="40% - Accent2 5 2 3 2 2" xfId="11240" xr:uid="{00000000-0005-0000-0000-0000681D0000}"/>
    <cellStyle name="40% - Accent2 5 2 3 3" xfId="11241" xr:uid="{00000000-0005-0000-0000-0000691D0000}"/>
    <cellStyle name="40% - Accent2 5 2 3 3 2" xfId="11242" xr:uid="{00000000-0005-0000-0000-00006A1D0000}"/>
    <cellStyle name="40% - Accent2 5 2 3 4" xfId="11243" xr:uid="{00000000-0005-0000-0000-00006B1D0000}"/>
    <cellStyle name="40% - Accent2 5 2 4" xfId="11244" xr:uid="{00000000-0005-0000-0000-00006C1D0000}"/>
    <cellStyle name="40% - Accent2 5 2 4 2" xfId="11245" xr:uid="{00000000-0005-0000-0000-00006D1D0000}"/>
    <cellStyle name="40% - Accent2 5 2 4 2 2" xfId="11246" xr:uid="{00000000-0005-0000-0000-00006E1D0000}"/>
    <cellStyle name="40% - Accent2 5 2 4 3" xfId="11247" xr:uid="{00000000-0005-0000-0000-00006F1D0000}"/>
    <cellStyle name="40% - Accent2 5 2 4 3 2" xfId="11248" xr:uid="{00000000-0005-0000-0000-0000701D0000}"/>
    <cellStyle name="40% - Accent2 5 2 4 4" xfId="11249" xr:uid="{00000000-0005-0000-0000-0000711D0000}"/>
    <cellStyle name="40% - Accent2 5 2 5" xfId="11250" xr:uid="{00000000-0005-0000-0000-0000721D0000}"/>
    <cellStyle name="40% - Accent2 5 2 5 2" xfId="11251" xr:uid="{00000000-0005-0000-0000-0000731D0000}"/>
    <cellStyle name="40% - Accent2 5 2 5 2 2" xfId="11252" xr:uid="{00000000-0005-0000-0000-0000741D0000}"/>
    <cellStyle name="40% - Accent2 5 2 5 3" xfId="11253" xr:uid="{00000000-0005-0000-0000-0000751D0000}"/>
    <cellStyle name="40% - Accent2 5 2 5 3 2" xfId="11254" xr:uid="{00000000-0005-0000-0000-0000761D0000}"/>
    <cellStyle name="40% - Accent2 5 2 5 4" xfId="11255" xr:uid="{00000000-0005-0000-0000-0000771D0000}"/>
    <cellStyle name="40% - Accent2 5 2 6" xfId="11256" xr:uid="{00000000-0005-0000-0000-0000781D0000}"/>
    <cellStyle name="40% - Accent2 5 2 6 2" xfId="11257" xr:uid="{00000000-0005-0000-0000-0000791D0000}"/>
    <cellStyle name="40% - Accent2 5 2 6 2 2" xfId="11258" xr:uid="{00000000-0005-0000-0000-00007A1D0000}"/>
    <cellStyle name="40% - Accent2 5 2 6 3" xfId="11259" xr:uid="{00000000-0005-0000-0000-00007B1D0000}"/>
    <cellStyle name="40% - Accent2 5 2 6 3 2" xfId="11260" xr:uid="{00000000-0005-0000-0000-00007C1D0000}"/>
    <cellStyle name="40% - Accent2 5 2 6 4" xfId="11261" xr:uid="{00000000-0005-0000-0000-00007D1D0000}"/>
    <cellStyle name="40% - Accent2 5 2 7" xfId="11262" xr:uid="{00000000-0005-0000-0000-00007E1D0000}"/>
    <cellStyle name="40% - Accent2 5 2 7 2" xfId="11263" xr:uid="{00000000-0005-0000-0000-00007F1D0000}"/>
    <cellStyle name="40% - Accent2 5 2 7 2 2" xfId="11264" xr:uid="{00000000-0005-0000-0000-0000801D0000}"/>
    <cellStyle name="40% - Accent2 5 2 7 3" xfId="11265" xr:uid="{00000000-0005-0000-0000-0000811D0000}"/>
    <cellStyle name="40% - Accent2 5 2 7 3 2" xfId="11266" xr:uid="{00000000-0005-0000-0000-0000821D0000}"/>
    <cellStyle name="40% - Accent2 5 2 7 4" xfId="11267" xr:uid="{00000000-0005-0000-0000-0000831D0000}"/>
    <cellStyle name="40% - Accent2 5 2 8" xfId="11268" xr:uid="{00000000-0005-0000-0000-0000841D0000}"/>
    <cellStyle name="40% - Accent2 5 2 8 2" xfId="11269" xr:uid="{00000000-0005-0000-0000-0000851D0000}"/>
    <cellStyle name="40% - Accent2 5 2 8 2 2" xfId="11270" xr:uid="{00000000-0005-0000-0000-0000861D0000}"/>
    <cellStyle name="40% - Accent2 5 2 8 3" xfId="11271" xr:uid="{00000000-0005-0000-0000-0000871D0000}"/>
    <cellStyle name="40% - Accent2 5 2 8 3 2" xfId="11272" xr:uid="{00000000-0005-0000-0000-0000881D0000}"/>
    <cellStyle name="40% - Accent2 5 2 8 4" xfId="11273" xr:uid="{00000000-0005-0000-0000-0000891D0000}"/>
    <cellStyle name="40% - Accent2 5 2 9" xfId="11274" xr:uid="{00000000-0005-0000-0000-00008A1D0000}"/>
    <cellStyle name="40% - Accent2 5 2 9 2" xfId="11275" xr:uid="{00000000-0005-0000-0000-00008B1D0000}"/>
    <cellStyle name="40% - Accent2 5 2 9 2 2" xfId="11276" xr:uid="{00000000-0005-0000-0000-00008C1D0000}"/>
    <cellStyle name="40% - Accent2 5 2 9 3" xfId="11277" xr:uid="{00000000-0005-0000-0000-00008D1D0000}"/>
    <cellStyle name="40% - Accent2 5 2 9 3 2" xfId="11278" xr:uid="{00000000-0005-0000-0000-00008E1D0000}"/>
    <cellStyle name="40% - Accent2 5 2 9 4" xfId="11279" xr:uid="{00000000-0005-0000-0000-00008F1D0000}"/>
    <cellStyle name="40% - Accent2 5 3" xfId="2236" xr:uid="{00000000-0005-0000-0000-0000901D0000}"/>
    <cellStyle name="40% - Accent2 5 3 2" xfId="11281" xr:uid="{00000000-0005-0000-0000-0000911D0000}"/>
    <cellStyle name="40% - Accent2 5 3 2 2" xfId="11282" xr:uid="{00000000-0005-0000-0000-0000921D0000}"/>
    <cellStyle name="40% - Accent2 5 3 3" xfId="11283" xr:uid="{00000000-0005-0000-0000-0000931D0000}"/>
    <cellStyle name="40% - Accent2 5 3 3 2" xfId="11284" xr:uid="{00000000-0005-0000-0000-0000941D0000}"/>
    <cellStyle name="40% - Accent2 5 3 4" xfId="11285" xr:uid="{00000000-0005-0000-0000-0000951D0000}"/>
    <cellStyle name="40% - Accent2 5 3 4 2" xfId="11286" xr:uid="{00000000-0005-0000-0000-0000961D0000}"/>
    <cellStyle name="40% - Accent2 5 3 5" xfId="11287" xr:uid="{00000000-0005-0000-0000-0000971D0000}"/>
    <cellStyle name="40% - Accent2 5 3 6" xfId="11280" xr:uid="{00000000-0005-0000-0000-0000981D0000}"/>
    <cellStyle name="40% - Accent2 5 4" xfId="2610" xr:uid="{00000000-0005-0000-0000-0000991D0000}"/>
    <cellStyle name="40% - Accent2 5 4 2" xfId="11289" xr:uid="{00000000-0005-0000-0000-00009A1D0000}"/>
    <cellStyle name="40% - Accent2 5 4 2 2" xfId="11290" xr:uid="{00000000-0005-0000-0000-00009B1D0000}"/>
    <cellStyle name="40% - Accent2 5 4 3" xfId="11291" xr:uid="{00000000-0005-0000-0000-00009C1D0000}"/>
    <cellStyle name="40% - Accent2 5 4 3 2" xfId="11292" xr:uid="{00000000-0005-0000-0000-00009D1D0000}"/>
    <cellStyle name="40% - Accent2 5 4 4" xfId="11293" xr:uid="{00000000-0005-0000-0000-00009E1D0000}"/>
    <cellStyle name="40% - Accent2 5 4 4 2" xfId="11294" xr:uid="{00000000-0005-0000-0000-00009F1D0000}"/>
    <cellStyle name="40% - Accent2 5 4 5" xfId="11295" xr:uid="{00000000-0005-0000-0000-0000A01D0000}"/>
    <cellStyle name="40% - Accent2 5 4 6" xfId="11288" xr:uid="{00000000-0005-0000-0000-0000A11D0000}"/>
    <cellStyle name="40% - Accent2 5 5" xfId="2982" xr:uid="{00000000-0005-0000-0000-0000A21D0000}"/>
    <cellStyle name="40% - Accent2 5 5 2" xfId="11297" xr:uid="{00000000-0005-0000-0000-0000A31D0000}"/>
    <cellStyle name="40% - Accent2 5 5 2 2" xfId="11298" xr:uid="{00000000-0005-0000-0000-0000A41D0000}"/>
    <cellStyle name="40% - Accent2 5 5 3" xfId="11299" xr:uid="{00000000-0005-0000-0000-0000A51D0000}"/>
    <cellStyle name="40% - Accent2 5 5 3 2" xfId="11300" xr:uid="{00000000-0005-0000-0000-0000A61D0000}"/>
    <cellStyle name="40% - Accent2 5 5 4" xfId="11301" xr:uid="{00000000-0005-0000-0000-0000A71D0000}"/>
    <cellStyle name="40% - Accent2 5 5 4 2" xfId="11302" xr:uid="{00000000-0005-0000-0000-0000A81D0000}"/>
    <cellStyle name="40% - Accent2 5 5 5" xfId="11303" xr:uid="{00000000-0005-0000-0000-0000A91D0000}"/>
    <cellStyle name="40% - Accent2 5 5 6" xfId="11296" xr:uid="{00000000-0005-0000-0000-0000AA1D0000}"/>
    <cellStyle name="40% - Accent2 5 6" xfId="3354" xr:uid="{00000000-0005-0000-0000-0000AB1D0000}"/>
    <cellStyle name="40% - Accent2 5 6 2" xfId="11305" xr:uid="{00000000-0005-0000-0000-0000AC1D0000}"/>
    <cellStyle name="40% - Accent2 5 6 2 2" xfId="11306" xr:uid="{00000000-0005-0000-0000-0000AD1D0000}"/>
    <cellStyle name="40% - Accent2 5 6 3" xfId="11307" xr:uid="{00000000-0005-0000-0000-0000AE1D0000}"/>
    <cellStyle name="40% - Accent2 5 6 3 2" xfId="11308" xr:uid="{00000000-0005-0000-0000-0000AF1D0000}"/>
    <cellStyle name="40% - Accent2 5 6 4" xfId="11309" xr:uid="{00000000-0005-0000-0000-0000B01D0000}"/>
    <cellStyle name="40% - Accent2 5 6 4 2" xfId="11310" xr:uid="{00000000-0005-0000-0000-0000B11D0000}"/>
    <cellStyle name="40% - Accent2 5 6 5" xfId="11311" xr:uid="{00000000-0005-0000-0000-0000B21D0000}"/>
    <cellStyle name="40% - Accent2 5 6 6" xfId="11304" xr:uid="{00000000-0005-0000-0000-0000B31D0000}"/>
    <cellStyle name="40% - Accent2 5 7" xfId="4516" xr:uid="{00000000-0005-0000-0000-0000B41D0000}"/>
    <cellStyle name="40% - Accent2 5 7 2" xfId="11313" xr:uid="{00000000-0005-0000-0000-0000B51D0000}"/>
    <cellStyle name="40% - Accent2 5 7 2 2" xfId="11314" xr:uid="{00000000-0005-0000-0000-0000B61D0000}"/>
    <cellStyle name="40% - Accent2 5 7 3" xfId="11315" xr:uid="{00000000-0005-0000-0000-0000B71D0000}"/>
    <cellStyle name="40% - Accent2 5 7 3 2" xfId="11316" xr:uid="{00000000-0005-0000-0000-0000B81D0000}"/>
    <cellStyle name="40% - Accent2 5 7 4" xfId="11317" xr:uid="{00000000-0005-0000-0000-0000B91D0000}"/>
    <cellStyle name="40% - Accent2 5 7 5" xfId="11312" xr:uid="{00000000-0005-0000-0000-0000BA1D0000}"/>
    <cellStyle name="40% - Accent2 5 8" xfId="11318" xr:uid="{00000000-0005-0000-0000-0000BB1D0000}"/>
    <cellStyle name="40% - Accent2 5 8 2" xfId="11319" xr:uid="{00000000-0005-0000-0000-0000BC1D0000}"/>
    <cellStyle name="40% - Accent2 5 8 2 2" xfId="11320" xr:uid="{00000000-0005-0000-0000-0000BD1D0000}"/>
    <cellStyle name="40% - Accent2 5 8 3" xfId="11321" xr:uid="{00000000-0005-0000-0000-0000BE1D0000}"/>
    <cellStyle name="40% - Accent2 5 8 3 2" xfId="11322" xr:uid="{00000000-0005-0000-0000-0000BF1D0000}"/>
    <cellStyle name="40% - Accent2 5 8 4" xfId="11323" xr:uid="{00000000-0005-0000-0000-0000C01D0000}"/>
    <cellStyle name="40% - Accent2 5 9" xfId="11324" xr:uid="{00000000-0005-0000-0000-0000C11D0000}"/>
    <cellStyle name="40% - Accent2 5 9 2" xfId="11325" xr:uid="{00000000-0005-0000-0000-0000C21D0000}"/>
    <cellStyle name="40% - Accent2 5 9 2 2" xfId="11326" xr:uid="{00000000-0005-0000-0000-0000C31D0000}"/>
    <cellStyle name="40% - Accent2 5 9 3" xfId="11327" xr:uid="{00000000-0005-0000-0000-0000C41D0000}"/>
    <cellStyle name="40% - Accent2 5 9 3 2" xfId="11328" xr:uid="{00000000-0005-0000-0000-0000C51D0000}"/>
    <cellStyle name="40% - Accent2 5 9 4" xfId="11329" xr:uid="{00000000-0005-0000-0000-0000C61D0000}"/>
    <cellStyle name="40% - Accent2 6" xfId="388" xr:uid="{00000000-0005-0000-0000-0000C71D0000}"/>
    <cellStyle name="40% - Accent2 6 10" xfId="5392" xr:uid="{00000000-0005-0000-0000-0000C81D0000}"/>
    <cellStyle name="40% - Accent2 6 10 2" xfId="6277" xr:uid="{00000000-0005-0000-0000-0000C91D0000}"/>
    <cellStyle name="40% - Accent2 6 10 2 2" xfId="11333" xr:uid="{00000000-0005-0000-0000-0000CA1D0000}"/>
    <cellStyle name="40% - Accent2 6 10 2 3" xfId="11332" xr:uid="{00000000-0005-0000-0000-0000CB1D0000}"/>
    <cellStyle name="40% - Accent2 6 10 2 4" xfId="26311" xr:uid="{00000000-0005-0000-0000-0000CC1D0000}"/>
    <cellStyle name="40% - Accent2 6 10 3" xfId="11334" xr:uid="{00000000-0005-0000-0000-0000CD1D0000}"/>
    <cellStyle name="40% - Accent2 6 10 3 2" xfId="11335" xr:uid="{00000000-0005-0000-0000-0000CE1D0000}"/>
    <cellStyle name="40% - Accent2 6 10 4" xfId="11336" xr:uid="{00000000-0005-0000-0000-0000CF1D0000}"/>
    <cellStyle name="40% - Accent2 6 10 5" xfId="11331" xr:uid="{00000000-0005-0000-0000-0000D01D0000}"/>
    <cellStyle name="40% - Accent2 6 10 6" xfId="26310" xr:uid="{00000000-0005-0000-0000-0000D11D0000}"/>
    <cellStyle name="40% - Accent2 6 11" xfId="5702" xr:uid="{00000000-0005-0000-0000-0000D21D0000}"/>
    <cellStyle name="40% - Accent2 6 11 2" xfId="6278" xr:uid="{00000000-0005-0000-0000-0000D31D0000}"/>
    <cellStyle name="40% - Accent2 6 11 2 2" xfId="11339" xr:uid="{00000000-0005-0000-0000-0000D41D0000}"/>
    <cellStyle name="40% - Accent2 6 11 2 3" xfId="11338" xr:uid="{00000000-0005-0000-0000-0000D51D0000}"/>
    <cellStyle name="40% - Accent2 6 11 2 4" xfId="26313" xr:uid="{00000000-0005-0000-0000-0000D61D0000}"/>
    <cellStyle name="40% - Accent2 6 11 3" xfId="11340" xr:uid="{00000000-0005-0000-0000-0000D71D0000}"/>
    <cellStyle name="40% - Accent2 6 11 3 2" xfId="11341" xr:uid="{00000000-0005-0000-0000-0000D81D0000}"/>
    <cellStyle name="40% - Accent2 6 11 4" xfId="11342" xr:uid="{00000000-0005-0000-0000-0000D91D0000}"/>
    <cellStyle name="40% - Accent2 6 11 5" xfId="11337" xr:uid="{00000000-0005-0000-0000-0000DA1D0000}"/>
    <cellStyle name="40% - Accent2 6 11 6" xfId="26312" xr:uid="{00000000-0005-0000-0000-0000DB1D0000}"/>
    <cellStyle name="40% - Accent2 6 12" xfId="4517" xr:uid="{00000000-0005-0000-0000-0000DC1D0000}"/>
    <cellStyle name="40% - Accent2 6 12 2" xfId="6279" xr:uid="{00000000-0005-0000-0000-0000DD1D0000}"/>
    <cellStyle name="40% - Accent2 6 12 2 2" xfId="11345" xr:uid="{00000000-0005-0000-0000-0000DE1D0000}"/>
    <cellStyle name="40% - Accent2 6 12 2 3" xfId="11344" xr:uid="{00000000-0005-0000-0000-0000DF1D0000}"/>
    <cellStyle name="40% - Accent2 6 12 2 4" xfId="26315" xr:uid="{00000000-0005-0000-0000-0000E01D0000}"/>
    <cellStyle name="40% - Accent2 6 12 3" xfId="11346" xr:uid="{00000000-0005-0000-0000-0000E11D0000}"/>
    <cellStyle name="40% - Accent2 6 12 3 2" xfId="11347" xr:uid="{00000000-0005-0000-0000-0000E21D0000}"/>
    <cellStyle name="40% - Accent2 6 12 4" xfId="11348" xr:uid="{00000000-0005-0000-0000-0000E31D0000}"/>
    <cellStyle name="40% - Accent2 6 12 5" xfId="11343" xr:uid="{00000000-0005-0000-0000-0000E41D0000}"/>
    <cellStyle name="40% - Accent2 6 12 6" xfId="26314" xr:uid="{00000000-0005-0000-0000-0000E51D0000}"/>
    <cellStyle name="40% - Accent2 6 13" xfId="6276" xr:uid="{00000000-0005-0000-0000-0000E61D0000}"/>
    <cellStyle name="40% - Accent2 6 13 2" xfId="11350" xr:uid="{00000000-0005-0000-0000-0000E71D0000}"/>
    <cellStyle name="40% - Accent2 6 13 3" xfId="11349" xr:uid="{00000000-0005-0000-0000-0000E81D0000}"/>
    <cellStyle name="40% - Accent2 6 13 4" xfId="26316" xr:uid="{00000000-0005-0000-0000-0000E91D0000}"/>
    <cellStyle name="40% - Accent2 6 14" xfId="11351" xr:uid="{00000000-0005-0000-0000-0000EA1D0000}"/>
    <cellStyle name="40% - Accent2 6 14 2" xfId="11352" xr:uid="{00000000-0005-0000-0000-0000EB1D0000}"/>
    <cellStyle name="40% - Accent2 6 15" xfId="11353" xr:uid="{00000000-0005-0000-0000-0000EC1D0000}"/>
    <cellStyle name="40% - Accent2 6 15 2" xfId="11354" xr:uid="{00000000-0005-0000-0000-0000ED1D0000}"/>
    <cellStyle name="40% - Accent2 6 16" xfId="11355" xr:uid="{00000000-0005-0000-0000-0000EE1D0000}"/>
    <cellStyle name="40% - Accent2 6 16 2" xfId="11356" xr:uid="{00000000-0005-0000-0000-0000EF1D0000}"/>
    <cellStyle name="40% - Accent2 6 16 2 2" xfId="11357" xr:uid="{00000000-0005-0000-0000-0000F01D0000}"/>
    <cellStyle name="40% - Accent2 6 16 3" xfId="11358" xr:uid="{00000000-0005-0000-0000-0000F11D0000}"/>
    <cellStyle name="40% - Accent2 6 16 3 2" xfId="11359" xr:uid="{00000000-0005-0000-0000-0000F21D0000}"/>
    <cellStyle name="40% - Accent2 6 16 4" xfId="11360" xr:uid="{00000000-0005-0000-0000-0000F31D0000}"/>
    <cellStyle name="40% - Accent2 6 17" xfId="11361" xr:uid="{00000000-0005-0000-0000-0000F41D0000}"/>
    <cellStyle name="40% - Accent2 6 17 2" xfId="11362" xr:uid="{00000000-0005-0000-0000-0000F51D0000}"/>
    <cellStyle name="40% - Accent2 6 18" xfId="11363" xr:uid="{00000000-0005-0000-0000-0000F61D0000}"/>
    <cellStyle name="40% - Accent2 6 18 2" xfId="11364" xr:uid="{00000000-0005-0000-0000-0000F71D0000}"/>
    <cellStyle name="40% - Accent2 6 19" xfId="11365" xr:uid="{00000000-0005-0000-0000-0000F81D0000}"/>
    <cellStyle name="40% - Accent2 6 2" xfId="1976" xr:uid="{00000000-0005-0000-0000-0000F91D0000}"/>
    <cellStyle name="40% - Accent2 6 2 2" xfId="4518" xr:uid="{00000000-0005-0000-0000-0000FA1D0000}"/>
    <cellStyle name="40% - Accent2 6 2 2 2" xfId="11368" xr:uid="{00000000-0005-0000-0000-0000FB1D0000}"/>
    <cellStyle name="40% - Accent2 6 2 2 3" xfId="11367" xr:uid="{00000000-0005-0000-0000-0000FC1D0000}"/>
    <cellStyle name="40% - Accent2 6 2 3" xfId="11369" xr:uid="{00000000-0005-0000-0000-0000FD1D0000}"/>
    <cellStyle name="40% - Accent2 6 2 3 2" xfId="11370" xr:uid="{00000000-0005-0000-0000-0000FE1D0000}"/>
    <cellStyle name="40% - Accent2 6 2 4" xfId="11371" xr:uid="{00000000-0005-0000-0000-0000FF1D0000}"/>
    <cellStyle name="40% - Accent2 6 2 4 2" xfId="11372" xr:uid="{00000000-0005-0000-0000-0000001E0000}"/>
    <cellStyle name="40% - Accent2 6 2 5" xfId="11373" xr:uid="{00000000-0005-0000-0000-0000011E0000}"/>
    <cellStyle name="40% - Accent2 6 2 5 2" xfId="11374" xr:uid="{00000000-0005-0000-0000-0000021E0000}"/>
    <cellStyle name="40% - Accent2 6 2 6" xfId="11375" xr:uid="{00000000-0005-0000-0000-0000031E0000}"/>
    <cellStyle name="40% - Accent2 6 2 7" xfId="11366" xr:uid="{00000000-0005-0000-0000-0000041E0000}"/>
    <cellStyle name="40% - Accent2 6 20" xfId="11330" xr:uid="{00000000-0005-0000-0000-0000051E0000}"/>
    <cellStyle name="40% - Accent2 6 21" xfId="24838" xr:uid="{00000000-0005-0000-0000-0000061E0000}"/>
    <cellStyle name="40% - Accent2 6 22" xfId="26309" xr:uid="{00000000-0005-0000-0000-0000071E0000}"/>
    <cellStyle name="40% - Accent2 6 3" xfId="2351" xr:uid="{00000000-0005-0000-0000-0000081E0000}"/>
    <cellStyle name="40% - Accent2 6 3 2" xfId="4519" xr:uid="{00000000-0005-0000-0000-0000091E0000}"/>
    <cellStyle name="40% - Accent2 6 3 2 2" xfId="11378" xr:uid="{00000000-0005-0000-0000-00000A1E0000}"/>
    <cellStyle name="40% - Accent2 6 3 2 3" xfId="11377" xr:uid="{00000000-0005-0000-0000-00000B1E0000}"/>
    <cellStyle name="40% - Accent2 6 3 3" xfId="11379" xr:uid="{00000000-0005-0000-0000-00000C1E0000}"/>
    <cellStyle name="40% - Accent2 6 3 3 2" xfId="11380" xr:uid="{00000000-0005-0000-0000-00000D1E0000}"/>
    <cellStyle name="40% - Accent2 6 3 4" xfId="11381" xr:uid="{00000000-0005-0000-0000-00000E1E0000}"/>
    <cellStyle name="40% - Accent2 6 3 4 2" xfId="11382" xr:uid="{00000000-0005-0000-0000-00000F1E0000}"/>
    <cellStyle name="40% - Accent2 6 3 5" xfId="11383" xr:uid="{00000000-0005-0000-0000-0000101E0000}"/>
    <cellStyle name="40% - Accent2 6 3 5 2" xfId="11384" xr:uid="{00000000-0005-0000-0000-0000111E0000}"/>
    <cellStyle name="40% - Accent2 6 3 6" xfId="11385" xr:uid="{00000000-0005-0000-0000-0000121E0000}"/>
    <cellStyle name="40% - Accent2 6 3 7" xfId="11376" xr:uid="{00000000-0005-0000-0000-0000131E0000}"/>
    <cellStyle name="40% - Accent2 6 4" xfId="2724" xr:uid="{00000000-0005-0000-0000-0000141E0000}"/>
    <cellStyle name="40% - Accent2 6 4 2" xfId="4520" xr:uid="{00000000-0005-0000-0000-0000151E0000}"/>
    <cellStyle name="40% - Accent2 6 4 2 2" xfId="11388" xr:uid="{00000000-0005-0000-0000-0000161E0000}"/>
    <cellStyle name="40% - Accent2 6 4 2 3" xfId="11387" xr:uid="{00000000-0005-0000-0000-0000171E0000}"/>
    <cellStyle name="40% - Accent2 6 4 3" xfId="11389" xr:uid="{00000000-0005-0000-0000-0000181E0000}"/>
    <cellStyle name="40% - Accent2 6 4 3 2" xfId="11390" xr:uid="{00000000-0005-0000-0000-0000191E0000}"/>
    <cellStyle name="40% - Accent2 6 4 4" xfId="11391" xr:uid="{00000000-0005-0000-0000-00001A1E0000}"/>
    <cellStyle name="40% - Accent2 6 4 4 2" xfId="11392" xr:uid="{00000000-0005-0000-0000-00001B1E0000}"/>
    <cellStyle name="40% - Accent2 6 4 5" xfId="11393" xr:uid="{00000000-0005-0000-0000-00001C1E0000}"/>
    <cellStyle name="40% - Accent2 6 4 5 2" xfId="11394" xr:uid="{00000000-0005-0000-0000-00001D1E0000}"/>
    <cellStyle name="40% - Accent2 6 4 6" xfId="11395" xr:uid="{00000000-0005-0000-0000-00001E1E0000}"/>
    <cellStyle name="40% - Accent2 6 4 7" xfId="11386" xr:uid="{00000000-0005-0000-0000-00001F1E0000}"/>
    <cellStyle name="40% - Accent2 6 5" xfId="3097" xr:uid="{00000000-0005-0000-0000-0000201E0000}"/>
    <cellStyle name="40% - Accent2 6 5 2" xfId="4521" xr:uid="{00000000-0005-0000-0000-0000211E0000}"/>
    <cellStyle name="40% - Accent2 6 5 2 2" xfId="11398" xr:uid="{00000000-0005-0000-0000-0000221E0000}"/>
    <cellStyle name="40% - Accent2 6 5 2 3" xfId="11397" xr:uid="{00000000-0005-0000-0000-0000231E0000}"/>
    <cellStyle name="40% - Accent2 6 5 3" xfId="11399" xr:uid="{00000000-0005-0000-0000-0000241E0000}"/>
    <cellStyle name="40% - Accent2 6 5 3 2" xfId="11400" xr:uid="{00000000-0005-0000-0000-0000251E0000}"/>
    <cellStyle name="40% - Accent2 6 5 4" xfId="11401" xr:uid="{00000000-0005-0000-0000-0000261E0000}"/>
    <cellStyle name="40% - Accent2 6 5 4 2" xfId="11402" xr:uid="{00000000-0005-0000-0000-0000271E0000}"/>
    <cellStyle name="40% - Accent2 6 5 5" xfId="11403" xr:uid="{00000000-0005-0000-0000-0000281E0000}"/>
    <cellStyle name="40% - Accent2 6 5 5 2" xfId="11404" xr:uid="{00000000-0005-0000-0000-0000291E0000}"/>
    <cellStyle name="40% - Accent2 6 5 6" xfId="11405" xr:uid="{00000000-0005-0000-0000-00002A1E0000}"/>
    <cellStyle name="40% - Accent2 6 5 7" xfId="11396" xr:uid="{00000000-0005-0000-0000-00002B1E0000}"/>
    <cellStyle name="40% - Accent2 6 6" xfId="3468" xr:uid="{00000000-0005-0000-0000-00002C1E0000}"/>
    <cellStyle name="40% - Accent2 6 6 2" xfId="4522" xr:uid="{00000000-0005-0000-0000-00002D1E0000}"/>
    <cellStyle name="40% - Accent2 6 6 2 2" xfId="11408" xr:uid="{00000000-0005-0000-0000-00002E1E0000}"/>
    <cellStyle name="40% - Accent2 6 6 2 3" xfId="11407" xr:uid="{00000000-0005-0000-0000-00002F1E0000}"/>
    <cellStyle name="40% - Accent2 6 6 3" xfId="11409" xr:uid="{00000000-0005-0000-0000-0000301E0000}"/>
    <cellStyle name="40% - Accent2 6 6 3 2" xfId="11410" xr:uid="{00000000-0005-0000-0000-0000311E0000}"/>
    <cellStyle name="40% - Accent2 6 6 4" xfId="11411" xr:uid="{00000000-0005-0000-0000-0000321E0000}"/>
    <cellStyle name="40% - Accent2 6 6 4 2" xfId="11412" xr:uid="{00000000-0005-0000-0000-0000331E0000}"/>
    <cellStyle name="40% - Accent2 6 6 5" xfId="11413" xr:uid="{00000000-0005-0000-0000-0000341E0000}"/>
    <cellStyle name="40% - Accent2 6 6 5 2" xfId="11414" xr:uid="{00000000-0005-0000-0000-0000351E0000}"/>
    <cellStyle name="40% - Accent2 6 6 6" xfId="11415" xr:uid="{00000000-0005-0000-0000-0000361E0000}"/>
    <cellStyle name="40% - Accent2 6 6 7" xfId="11406" xr:uid="{00000000-0005-0000-0000-0000371E0000}"/>
    <cellStyle name="40% - Accent2 6 7" xfId="3774" xr:uid="{00000000-0005-0000-0000-0000381E0000}"/>
    <cellStyle name="40% - Accent2 6 7 2" xfId="4523" xr:uid="{00000000-0005-0000-0000-0000391E0000}"/>
    <cellStyle name="40% - Accent2 6 7 2 2" xfId="11418" xr:uid="{00000000-0005-0000-0000-00003A1E0000}"/>
    <cellStyle name="40% - Accent2 6 7 2 3" xfId="11417" xr:uid="{00000000-0005-0000-0000-00003B1E0000}"/>
    <cellStyle name="40% - Accent2 6 7 3" xfId="11419" xr:uid="{00000000-0005-0000-0000-00003C1E0000}"/>
    <cellStyle name="40% - Accent2 6 7 3 2" xfId="11420" xr:uid="{00000000-0005-0000-0000-00003D1E0000}"/>
    <cellStyle name="40% - Accent2 6 7 4" xfId="11421" xr:uid="{00000000-0005-0000-0000-00003E1E0000}"/>
    <cellStyle name="40% - Accent2 6 7 4 2" xfId="11422" xr:uid="{00000000-0005-0000-0000-00003F1E0000}"/>
    <cellStyle name="40% - Accent2 6 7 5" xfId="11423" xr:uid="{00000000-0005-0000-0000-0000401E0000}"/>
    <cellStyle name="40% - Accent2 6 7 5 2" xfId="11424" xr:uid="{00000000-0005-0000-0000-0000411E0000}"/>
    <cellStyle name="40% - Accent2 6 7 6" xfId="11425" xr:uid="{00000000-0005-0000-0000-0000421E0000}"/>
    <cellStyle name="40% - Accent2 6 7 7" xfId="11416" xr:uid="{00000000-0005-0000-0000-0000431E0000}"/>
    <cellStyle name="40% - Accent2 6 8" xfId="1363" xr:uid="{00000000-0005-0000-0000-0000441E0000}"/>
    <cellStyle name="40% - Accent2 6 8 10" xfId="24895" xr:uid="{00000000-0005-0000-0000-0000451E0000}"/>
    <cellStyle name="40% - Accent2 6 8 11" xfId="26317" xr:uid="{00000000-0005-0000-0000-0000461E0000}"/>
    <cellStyle name="40% - Accent2 6 8 2" xfId="4163" xr:uid="{00000000-0005-0000-0000-0000471E0000}"/>
    <cellStyle name="40% - Accent2 6 8 2 2" xfId="5394" xr:uid="{00000000-0005-0000-0000-0000481E0000}"/>
    <cellStyle name="40% - Accent2 6 8 2 2 2" xfId="6282" xr:uid="{00000000-0005-0000-0000-0000491E0000}"/>
    <cellStyle name="40% - Accent2 6 8 2 2 2 2" xfId="11429" xr:uid="{00000000-0005-0000-0000-00004A1E0000}"/>
    <cellStyle name="40% - Accent2 6 8 2 2 2 3" xfId="26320" xr:uid="{00000000-0005-0000-0000-00004B1E0000}"/>
    <cellStyle name="40% - Accent2 6 8 2 2 3" xfId="11428" xr:uid="{00000000-0005-0000-0000-00004C1E0000}"/>
    <cellStyle name="40% - Accent2 6 8 2 2 4" xfId="26319" xr:uid="{00000000-0005-0000-0000-00004D1E0000}"/>
    <cellStyle name="40% - Accent2 6 8 2 3" xfId="5704" xr:uid="{00000000-0005-0000-0000-00004E1E0000}"/>
    <cellStyle name="40% - Accent2 6 8 2 3 2" xfId="6283" xr:uid="{00000000-0005-0000-0000-00004F1E0000}"/>
    <cellStyle name="40% - Accent2 6 8 2 3 2 2" xfId="26322" xr:uid="{00000000-0005-0000-0000-0000501E0000}"/>
    <cellStyle name="40% - Accent2 6 8 2 3 3" xfId="11430" xr:uid="{00000000-0005-0000-0000-0000511E0000}"/>
    <cellStyle name="40% - Accent2 6 8 2 3 4" xfId="26321" xr:uid="{00000000-0005-0000-0000-0000521E0000}"/>
    <cellStyle name="40% - Accent2 6 8 2 4" xfId="4525" xr:uid="{00000000-0005-0000-0000-0000531E0000}"/>
    <cellStyle name="40% - Accent2 6 8 2 4 2" xfId="6284" xr:uid="{00000000-0005-0000-0000-0000541E0000}"/>
    <cellStyle name="40% - Accent2 6 8 2 4 2 2" xfId="26324" xr:uid="{00000000-0005-0000-0000-0000551E0000}"/>
    <cellStyle name="40% - Accent2 6 8 2 4 3" xfId="26323" xr:uid="{00000000-0005-0000-0000-0000561E0000}"/>
    <cellStyle name="40% - Accent2 6 8 2 5" xfId="6281" xr:uid="{00000000-0005-0000-0000-0000571E0000}"/>
    <cellStyle name="40% - Accent2 6 8 2 5 2" xfId="26325" xr:uid="{00000000-0005-0000-0000-0000581E0000}"/>
    <cellStyle name="40% - Accent2 6 8 2 6" xfId="11427" xr:uid="{00000000-0005-0000-0000-0000591E0000}"/>
    <cellStyle name="40% - Accent2 6 8 2 7" xfId="25015" xr:uid="{00000000-0005-0000-0000-00005A1E0000}"/>
    <cellStyle name="40% - Accent2 6 8 2 8" xfId="26318" xr:uid="{00000000-0005-0000-0000-00005B1E0000}"/>
    <cellStyle name="40% - Accent2 6 8 3" xfId="5393" xr:uid="{00000000-0005-0000-0000-00005C1E0000}"/>
    <cellStyle name="40% - Accent2 6 8 3 2" xfId="6285" xr:uid="{00000000-0005-0000-0000-00005D1E0000}"/>
    <cellStyle name="40% - Accent2 6 8 3 2 2" xfId="11432" xr:uid="{00000000-0005-0000-0000-00005E1E0000}"/>
    <cellStyle name="40% - Accent2 6 8 3 2 3" xfId="26327" xr:uid="{00000000-0005-0000-0000-00005F1E0000}"/>
    <cellStyle name="40% - Accent2 6 8 3 3" xfId="11431" xr:uid="{00000000-0005-0000-0000-0000601E0000}"/>
    <cellStyle name="40% - Accent2 6 8 3 4" xfId="26326" xr:uid="{00000000-0005-0000-0000-0000611E0000}"/>
    <cellStyle name="40% - Accent2 6 8 4" xfId="5703" xr:uid="{00000000-0005-0000-0000-0000621E0000}"/>
    <cellStyle name="40% - Accent2 6 8 4 2" xfId="6286" xr:uid="{00000000-0005-0000-0000-0000631E0000}"/>
    <cellStyle name="40% - Accent2 6 8 4 2 2" xfId="11434" xr:uid="{00000000-0005-0000-0000-0000641E0000}"/>
    <cellStyle name="40% - Accent2 6 8 4 2 3" xfId="26329" xr:uid="{00000000-0005-0000-0000-0000651E0000}"/>
    <cellStyle name="40% - Accent2 6 8 4 3" xfId="11433" xr:uid="{00000000-0005-0000-0000-0000661E0000}"/>
    <cellStyle name="40% - Accent2 6 8 4 4" xfId="26328" xr:uid="{00000000-0005-0000-0000-0000671E0000}"/>
    <cellStyle name="40% - Accent2 6 8 5" xfId="4524" xr:uid="{00000000-0005-0000-0000-0000681E0000}"/>
    <cellStyle name="40% - Accent2 6 8 5 2" xfId="6287" xr:uid="{00000000-0005-0000-0000-0000691E0000}"/>
    <cellStyle name="40% - Accent2 6 8 5 2 2" xfId="11437" xr:uid="{00000000-0005-0000-0000-00006A1E0000}"/>
    <cellStyle name="40% - Accent2 6 8 5 2 3" xfId="11436" xr:uid="{00000000-0005-0000-0000-00006B1E0000}"/>
    <cellStyle name="40% - Accent2 6 8 5 2 4" xfId="26331" xr:uid="{00000000-0005-0000-0000-00006C1E0000}"/>
    <cellStyle name="40% - Accent2 6 8 5 3" xfId="11438" xr:uid="{00000000-0005-0000-0000-00006D1E0000}"/>
    <cellStyle name="40% - Accent2 6 8 5 3 2" xfId="11439" xr:uid="{00000000-0005-0000-0000-00006E1E0000}"/>
    <cellStyle name="40% - Accent2 6 8 5 4" xfId="11440" xr:uid="{00000000-0005-0000-0000-00006F1E0000}"/>
    <cellStyle name="40% - Accent2 6 8 5 5" xfId="11435" xr:uid="{00000000-0005-0000-0000-0000701E0000}"/>
    <cellStyle name="40% - Accent2 6 8 5 6" xfId="26330" xr:uid="{00000000-0005-0000-0000-0000711E0000}"/>
    <cellStyle name="40% - Accent2 6 8 6" xfId="6280" xr:uid="{00000000-0005-0000-0000-0000721E0000}"/>
    <cellStyle name="40% - Accent2 6 8 6 2" xfId="11442" xr:uid="{00000000-0005-0000-0000-0000731E0000}"/>
    <cellStyle name="40% - Accent2 6 8 6 3" xfId="11441" xr:uid="{00000000-0005-0000-0000-0000741E0000}"/>
    <cellStyle name="40% - Accent2 6 8 6 4" xfId="26332" xr:uid="{00000000-0005-0000-0000-0000751E0000}"/>
    <cellStyle name="40% - Accent2 6 8 7" xfId="11443" xr:uid="{00000000-0005-0000-0000-0000761E0000}"/>
    <cellStyle name="40% - Accent2 6 8 7 2" xfId="11444" xr:uid="{00000000-0005-0000-0000-0000771E0000}"/>
    <cellStyle name="40% - Accent2 6 8 8" xfId="11445" xr:uid="{00000000-0005-0000-0000-0000781E0000}"/>
    <cellStyle name="40% - Accent2 6 8 9" xfId="11426" xr:uid="{00000000-0005-0000-0000-0000791E0000}"/>
    <cellStyle name="40% - Accent2 6 9" xfId="3824" xr:uid="{00000000-0005-0000-0000-00007A1E0000}"/>
    <cellStyle name="40% - Accent2 6 9 2" xfId="5395" xr:uid="{00000000-0005-0000-0000-00007B1E0000}"/>
    <cellStyle name="40% - Accent2 6 9 2 2" xfId="6289" xr:uid="{00000000-0005-0000-0000-00007C1E0000}"/>
    <cellStyle name="40% - Accent2 6 9 2 2 2" xfId="11448" xr:uid="{00000000-0005-0000-0000-00007D1E0000}"/>
    <cellStyle name="40% - Accent2 6 9 2 2 3" xfId="26335" xr:uid="{00000000-0005-0000-0000-00007E1E0000}"/>
    <cellStyle name="40% - Accent2 6 9 2 3" xfId="11447" xr:uid="{00000000-0005-0000-0000-00007F1E0000}"/>
    <cellStyle name="40% - Accent2 6 9 2 4" xfId="26334" xr:uid="{00000000-0005-0000-0000-0000801E0000}"/>
    <cellStyle name="40% - Accent2 6 9 3" xfId="5705" xr:uid="{00000000-0005-0000-0000-0000811E0000}"/>
    <cellStyle name="40% - Accent2 6 9 3 2" xfId="6290" xr:uid="{00000000-0005-0000-0000-0000821E0000}"/>
    <cellStyle name="40% - Accent2 6 9 3 2 2" xfId="11450" xr:uid="{00000000-0005-0000-0000-0000831E0000}"/>
    <cellStyle name="40% - Accent2 6 9 3 2 3" xfId="26337" xr:uid="{00000000-0005-0000-0000-0000841E0000}"/>
    <cellStyle name="40% - Accent2 6 9 3 3" xfId="11449" xr:uid="{00000000-0005-0000-0000-0000851E0000}"/>
    <cellStyle name="40% - Accent2 6 9 3 4" xfId="26336" xr:uid="{00000000-0005-0000-0000-0000861E0000}"/>
    <cellStyle name="40% - Accent2 6 9 4" xfId="4526" xr:uid="{00000000-0005-0000-0000-0000871E0000}"/>
    <cellStyle name="40% - Accent2 6 9 4 2" xfId="6291" xr:uid="{00000000-0005-0000-0000-0000881E0000}"/>
    <cellStyle name="40% - Accent2 6 9 4 2 2" xfId="11452" xr:uid="{00000000-0005-0000-0000-0000891E0000}"/>
    <cellStyle name="40% - Accent2 6 9 4 2 3" xfId="26339" xr:uid="{00000000-0005-0000-0000-00008A1E0000}"/>
    <cellStyle name="40% - Accent2 6 9 4 3" xfId="11451" xr:uid="{00000000-0005-0000-0000-00008B1E0000}"/>
    <cellStyle name="40% - Accent2 6 9 4 4" xfId="26338" xr:uid="{00000000-0005-0000-0000-00008C1E0000}"/>
    <cellStyle name="40% - Accent2 6 9 5" xfId="6288" xr:uid="{00000000-0005-0000-0000-00008D1E0000}"/>
    <cellStyle name="40% - Accent2 6 9 5 2" xfId="11453" xr:uid="{00000000-0005-0000-0000-00008E1E0000}"/>
    <cellStyle name="40% - Accent2 6 9 5 3" xfId="26340" xr:uid="{00000000-0005-0000-0000-00008F1E0000}"/>
    <cellStyle name="40% - Accent2 6 9 6" xfId="11446" xr:uid="{00000000-0005-0000-0000-0000901E0000}"/>
    <cellStyle name="40% - Accent2 6 9 7" xfId="24960" xr:uid="{00000000-0005-0000-0000-0000911E0000}"/>
    <cellStyle name="40% - Accent2 6 9 8" xfId="26333" xr:uid="{00000000-0005-0000-0000-0000921E0000}"/>
    <cellStyle name="40% - Accent2 7" xfId="389" xr:uid="{00000000-0005-0000-0000-0000931E0000}"/>
    <cellStyle name="40% - Accent2 7 10" xfId="11455" xr:uid="{00000000-0005-0000-0000-0000941E0000}"/>
    <cellStyle name="40% - Accent2 7 10 2" xfId="11456" xr:uid="{00000000-0005-0000-0000-0000951E0000}"/>
    <cellStyle name="40% - Accent2 7 10 2 2" xfId="11457" xr:uid="{00000000-0005-0000-0000-0000961E0000}"/>
    <cellStyle name="40% - Accent2 7 10 3" xfId="11458" xr:uid="{00000000-0005-0000-0000-0000971E0000}"/>
    <cellStyle name="40% - Accent2 7 10 3 2" xfId="11459" xr:uid="{00000000-0005-0000-0000-0000981E0000}"/>
    <cellStyle name="40% - Accent2 7 10 4" xfId="11460" xr:uid="{00000000-0005-0000-0000-0000991E0000}"/>
    <cellStyle name="40% - Accent2 7 11" xfId="11461" xr:uid="{00000000-0005-0000-0000-00009A1E0000}"/>
    <cellStyle name="40% - Accent2 7 11 2" xfId="11462" xr:uid="{00000000-0005-0000-0000-00009B1E0000}"/>
    <cellStyle name="40% - Accent2 7 11 2 2" xfId="11463" xr:uid="{00000000-0005-0000-0000-00009C1E0000}"/>
    <cellStyle name="40% - Accent2 7 11 3" xfId="11464" xr:uid="{00000000-0005-0000-0000-00009D1E0000}"/>
    <cellStyle name="40% - Accent2 7 11 3 2" xfId="11465" xr:uid="{00000000-0005-0000-0000-00009E1E0000}"/>
    <cellStyle name="40% - Accent2 7 11 4" xfId="11466" xr:uid="{00000000-0005-0000-0000-00009F1E0000}"/>
    <cellStyle name="40% - Accent2 7 12" xfId="11467" xr:uid="{00000000-0005-0000-0000-0000A01E0000}"/>
    <cellStyle name="40% - Accent2 7 12 2" xfId="11468" xr:uid="{00000000-0005-0000-0000-0000A11E0000}"/>
    <cellStyle name="40% - Accent2 7 12 2 2" xfId="11469" xr:uid="{00000000-0005-0000-0000-0000A21E0000}"/>
    <cellStyle name="40% - Accent2 7 12 3" xfId="11470" xr:uid="{00000000-0005-0000-0000-0000A31E0000}"/>
    <cellStyle name="40% - Accent2 7 12 3 2" xfId="11471" xr:uid="{00000000-0005-0000-0000-0000A41E0000}"/>
    <cellStyle name="40% - Accent2 7 12 4" xfId="11472" xr:uid="{00000000-0005-0000-0000-0000A51E0000}"/>
    <cellStyle name="40% - Accent2 7 13" xfId="11473" xr:uid="{00000000-0005-0000-0000-0000A61E0000}"/>
    <cellStyle name="40% - Accent2 7 13 2" xfId="11474" xr:uid="{00000000-0005-0000-0000-0000A71E0000}"/>
    <cellStyle name="40% - Accent2 7 14" xfId="11475" xr:uid="{00000000-0005-0000-0000-0000A81E0000}"/>
    <cellStyle name="40% - Accent2 7 14 2" xfId="11476" xr:uid="{00000000-0005-0000-0000-0000A91E0000}"/>
    <cellStyle name="40% - Accent2 7 15" xfId="11477" xr:uid="{00000000-0005-0000-0000-0000AA1E0000}"/>
    <cellStyle name="40% - Accent2 7 15 2" xfId="11478" xr:uid="{00000000-0005-0000-0000-0000AB1E0000}"/>
    <cellStyle name="40% - Accent2 7 16" xfId="11479" xr:uid="{00000000-0005-0000-0000-0000AC1E0000}"/>
    <cellStyle name="40% - Accent2 7 16 2" xfId="11480" xr:uid="{00000000-0005-0000-0000-0000AD1E0000}"/>
    <cellStyle name="40% - Accent2 7 17" xfId="11481" xr:uid="{00000000-0005-0000-0000-0000AE1E0000}"/>
    <cellStyle name="40% - Accent2 7 18" xfId="11454" xr:uid="{00000000-0005-0000-0000-0000AF1E0000}"/>
    <cellStyle name="40% - Accent2 7 2" xfId="4527" xr:uid="{00000000-0005-0000-0000-0000B01E0000}"/>
    <cellStyle name="40% - Accent2 7 2 2" xfId="11483" xr:uid="{00000000-0005-0000-0000-0000B11E0000}"/>
    <cellStyle name="40% - Accent2 7 2 2 2" xfId="11484" xr:uid="{00000000-0005-0000-0000-0000B21E0000}"/>
    <cellStyle name="40% - Accent2 7 2 3" xfId="11485" xr:uid="{00000000-0005-0000-0000-0000B31E0000}"/>
    <cellStyle name="40% - Accent2 7 2 3 2" xfId="11486" xr:uid="{00000000-0005-0000-0000-0000B41E0000}"/>
    <cellStyle name="40% - Accent2 7 2 4" xfId="11487" xr:uid="{00000000-0005-0000-0000-0000B51E0000}"/>
    <cellStyle name="40% - Accent2 7 2 5" xfId="11482" xr:uid="{00000000-0005-0000-0000-0000B61E0000}"/>
    <cellStyle name="40% - Accent2 7 3" xfId="11488" xr:uid="{00000000-0005-0000-0000-0000B71E0000}"/>
    <cellStyle name="40% - Accent2 7 3 2" xfId="11489" xr:uid="{00000000-0005-0000-0000-0000B81E0000}"/>
    <cellStyle name="40% - Accent2 7 3 2 2" xfId="11490" xr:uid="{00000000-0005-0000-0000-0000B91E0000}"/>
    <cellStyle name="40% - Accent2 7 3 3" xfId="11491" xr:uid="{00000000-0005-0000-0000-0000BA1E0000}"/>
    <cellStyle name="40% - Accent2 7 3 3 2" xfId="11492" xr:uid="{00000000-0005-0000-0000-0000BB1E0000}"/>
    <cellStyle name="40% - Accent2 7 3 4" xfId="11493" xr:uid="{00000000-0005-0000-0000-0000BC1E0000}"/>
    <cellStyle name="40% - Accent2 7 4" xfId="11494" xr:uid="{00000000-0005-0000-0000-0000BD1E0000}"/>
    <cellStyle name="40% - Accent2 7 4 2" xfId="11495" xr:uid="{00000000-0005-0000-0000-0000BE1E0000}"/>
    <cellStyle name="40% - Accent2 7 4 2 2" xfId="11496" xr:uid="{00000000-0005-0000-0000-0000BF1E0000}"/>
    <cellStyle name="40% - Accent2 7 4 3" xfId="11497" xr:uid="{00000000-0005-0000-0000-0000C01E0000}"/>
    <cellStyle name="40% - Accent2 7 4 3 2" xfId="11498" xr:uid="{00000000-0005-0000-0000-0000C11E0000}"/>
    <cellStyle name="40% - Accent2 7 4 4" xfId="11499" xr:uid="{00000000-0005-0000-0000-0000C21E0000}"/>
    <cellStyle name="40% - Accent2 7 5" xfId="11500" xr:uid="{00000000-0005-0000-0000-0000C31E0000}"/>
    <cellStyle name="40% - Accent2 7 5 2" xfId="11501" xr:uid="{00000000-0005-0000-0000-0000C41E0000}"/>
    <cellStyle name="40% - Accent2 7 5 2 2" xfId="11502" xr:uid="{00000000-0005-0000-0000-0000C51E0000}"/>
    <cellStyle name="40% - Accent2 7 5 3" xfId="11503" xr:uid="{00000000-0005-0000-0000-0000C61E0000}"/>
    <cellStyle name="40% - Accent2 7 5 3 2" xfId="11504" xr:uid="{00000000-0005-0000-0000-0000C71E0000}"/>
    <cellStyle name="40% - Accent2 7 5 4" xfId="11505" xr:uid="{00000000-0005-0000-0000-0000C81E0000}"/>
    <cellStyle name="40% - Accent2 7 6" xfId="11506" xr:uid="{00000000-0005-0000-0000-0000C91E0000}"/>
    <cellStyle name="40% - Accent2 7 6 2" xfId="11507" xr:uid="{00000000-0005-0000-0000-0000CA1E0000}"/>
    <cellStyle name="40% - Accent2 7 6 2 2" xfId="11508" xr:uid="{00000000-0005-0000-0000-0000CB1E0000}"/>
    <cellStyle name="40% - Accent2 7 6 3" xfId="11509" xr:uid="{00000000-0005-0000-0000-0000CC1E0000}"/>
    <cellStyle name="40% - Accent2 7 6 3 2" xfId="11510" xr:uid="{00000000-0005-0000-0000-0000CD1E0000}"/>
    <cellStyle name="40% - Accent2 7 6 4" xfId="11511" xr:uid="{00000000-0005-0000-0000-0000CE1E0000}"/>
    <cellStyle name="40% - Accent2 7 7" xfId="11512" xr:uid="{00000000-0005-0000-0000-0000CF1E0000}"/>
    <cellStyle name="40% - Accent2 7 7 2" xfId="11513" xr:uid="{00000000-0005-0000-0000-0000D01E0000}"/>
    <cellStyle name="40% - Accent2 7 7 2 2" xfId="11514" xr:uid="{00000000-0005-0000-0000-0000D11E0000}"/>
    <cellStyle name="40% - Accent2 7 7 3" xfId="11515" xr:uid="{00000000-0005-0000-0000-0000D21E0000}"/>
    <cellStyle name="40% - Accent2 7 7 3 2" xfId="11516" xr:uid="{00000000-0005-0000-0000-0000D31E0000}"/>
    <cellStyle name="40% - Accent2 7 7 4" xfId="11517" xr:uid="{00000000-0005-0000-0000-0000D41E0000}"/>
    <cellStyle name="40% - Accent2 7 8" xfId="11518" xr:uid="{00000000-0005-0000-0000-0000D51E0000}"/>
    <cellStyle name="40% - Accent2 7 8 2" xfId="11519" xr:uid="{00000000-0005-0000-0000-0000D61E0000}"/>
    <cellStyle name="40% - Accent2 7 8 2 2" xfId="11520" xr:uid="{00000000-0005-0000-0000-0000D71E0000}"/>
    <cellStyle name="40% - Accent2 7 8 3" xfId="11521" xr:uid="{00000000-0005-0000-0000-0000D81E0000}"/>
    <cellStyle name="40% - Accent2 7 8 3 2" xfId="11522" xr:uid="{00000000-0005-0000-0000-0000D91E0000}"/>
    <cellStyle name="40% - Accent2 7 8 4" xfId="11523" xr:uid="{00000000-0005-0000-0000-0000DA1E0000}"/>
    <cellStyle name="40% - Accent2 7 9" xfId="11524" xr:uid="{00000000-0005-0000-0000-0000DB1E0000}"/>
    <cellStyle name="40% - Accent2 7 9 2" xfId="11525" xr:uid="{00000000-0005-0000-0000-0000DC1E0000}"/>
    <cellStyle name="40% - Accent2 7 9 2 2" xfId="11526" xr:uid="{00000000-0005-0000-0000-0000DD1E0000}"/>
    <cellStyle name="40% - Accent2 7 9 3" xfId="11527" xr:uid="{00000000-0005-0000-0000-0000DE1E0000}"/>
    <cellStyle name="40% - Accent2 7 9 3 2" xfId="11528" xr:uid="{00000000-0005-0000-0000-0000DF1E0000}"/>
    <cellStyle name="40% - Accent2 7 9 4" xfId="11529" xr:uid="{00000000-0005-0000-0000-0000E01E0000}"/>
    <cellStyle name="40% - Accent2 8" xfId="541" xr:uid="{00000000-0005-0000-0000-0000E11E0000}"/>
    <cellStyle name="40% - Accent2 8 10" xfId="11530" xr:uid="{00000000-0005-0000-0000-0000E21E0000}"/>
    <cellStyle name="40% - Accent2 8 11" xfId="24852" xr:uid="{00000000-0005-0000-0000-0000E31E0000}"/>
    <cellStyle name="40% - Accent2 8 12" xfId="26341" xr:uid="{00000000-0005-0000-0000-0000E41E0000}"/>
    <cellStyle name="40% - Accent2 8 2" xfId="1375" xr:uid="{00000000-0005-0000-0000-0000E51E0000}"/>
    <cellStyle name="40% - Accent2 8 2 10" xfId="24907" xr:uid="{00000000-0005-0000-0000-0000E61E0000}"/>
    <cellStyle name="40% - Accent2 8 2 11" xfId="26342" xr:uid="{00000000-0005-0000-0000-0000E71E0000}"/>
    <cellStyle name="40% - Accent2 8 2 2" xfId="4175" xr:uid="{00000000-0005-0000-0000-0000E81E0000}"/>
    <cellStyle name="40% - Accent2 8 2 2 2" xfId="5398" xr:uid="{00000000-0005-0000-0000-0000E91E0000}"/>
    <cellStyle name="40% - Accent2 8 2 2 2 2" xfId="6295" xr:uid="{00000000-0005-0000-0000-0000EA1E0000}"/>
    <cellStyle name="40% - Accent2 8 2 2 2 2 2" xfId="11534" xr:uid="{00000000-0005-0000-0000-0000EB1E0000}"/>
    <cellStyle name="40% - Accent2 8 2 2 2 2 3" xfId="26345" xr:uid="{00000000-0005-0000-0000-0000EC1E0000}"/>
    <cellStyle name="40% - Accent2 8 2 2 2 3" xfId="11533" xr:uid="{00000000-0005-0000-0000-0000ED1E0000}"/>
    <cellStyle name="40% - Accent2 8 2 2 2 4" xfId="26344" xr:uid="{00000000-0005-0000-0000-0000EE1E0000}"/>
    <cellStyle name="40% - Accent2 8 2 2 3" xfId="5708" xr:uid="{00000000-0005-0000-0000-0000EF1E0000}"/>
    <cellStyle name="40% - Accent2 8 2 2 3 2" xfId="6296" xr:uid="{00000000-0005-0000-0000-0000F01E0000}"/>
    <cellStyle name="40% - Accent2 8 2 2 3 2 2" xfId="26347" xr:uid="{00000000-0005-0000-0000-0000F11E0000}"/>
    <cellStyle name="40% - Accent2 8 2 2 3 3" xfId="11535" xr:uid="{00000000-0005-0000-0000-0000F21E0000}"/>
    <cellStyle name="40% - Accent2 8 2 2 3 4" xfId="26346" xr:uid="{00000000-0005-0000-0000-0000F31E0000}"/>
    <cellStyle name="40% - Accent2 8 2 2 4" xfId="4530" xr:uid="{00000000-0005-0000-0000-0000F41E0000}"/>
    <cellStyle name="40% - Accent2 8 2 2 4 2" xfId="6297" xr:uid="{00000000-0005-0000-0000-0000F51E0000}"/>
    <cellStyle name="40% - Accent2 8 2 2 4 2 2" xfId="26349" xr:uid="{00000000-0005-0000-0000-0000F61E0000}"/>
    <cellStyle name="40% - Accent2 8 2 2 4 3" xfId="26348" xr:uid="{00000000-0005-0000-0000-0000F71E0000}"/>
    <cellStyle name="40% - Accent2 8 2 2 5" xfId="6294" xr:uid="{00000000-0005-0000-0000-0000F81E0000}"/>
    <cellStyle name="40% - Accent2 8 2 2 5 2" xfId="26350" xr:uid="{00000000-0005-0000-0000-0000F91E0000}"/>
    <cellStyle name="40% - Accent2 8 2 2 6" xfId="11532" xr:uid="{00000000-0005-0000-0000-0000FA1E0000}"/>
    <cellStyle name="40% - Accent2 8 2 2 7" xfId="25027" xr:uid="{00000000-0005-0000-0000-0000FB1E0000}"/>
    <cellStyle name="40% - Accent2 8 2 2 8" xfId="26343" xr:uid="{00000000-0005-0000-0000-0000FC1E0000}"/>
    <cellStyle name="40% - Accent2 8 2 3" xfId="5397" xr:uid="{00000000-0005-0000-0000-0000FD1E0000}"/>
    <cellStyle name="40% - Accent2 8 2 3 2" xfId="6298" xr:uid="{00000000-0005-0000-0000-0000FE1E0000}"/>
    <cellStyle name="40% - Accent2 8 2 3 2 2" xfId="11537" xr:uid="{00000000-0005-0000-0000-0000FF1E0000}"/>
    <cellStyle name="40% - Accent2 8 2 3 2 3" xfId="26352" xr:uid="{00000000-0005-0000-0000-0000001F0000}"/>
    <cellStyle name="40% - Accent2 8 2 3 3" xfId="11536" xr:uid="{00000000-0005-0000-0000-0000011F0000}"/>
    <cellStyle name="40% - Accent2 8 2 3 4" xfId="26351" xr:uid="{00000000-0005-0000-0000-0000021F0000}"/>
    <cellStyle name="40% - Accent2 8 2 4" xfId="5707" xr:uid="{00000000-0005-0000-0000-0000031F0000}"/>
    <cellStyle name="40% - Accent2 8 2 4 2" xfId="6299" xr:uid="{00000000-0005-0000-0000-0000041F0000}"/>
    <cellStyle name="40% - Accent2 8 2 4 2 2" xfId="11539" xr:uid="{00000000-0005-0000-0000-0000051F0000}"/>
    <cellStyle name="40% - Accent2 8 2 4 2 3" xfId="26354" xr:uid="{00000000-0005-0000-0000-0000061F0000}"/>
    <cellStyle name="40% - Accent2 8 2 4 3" xfId="11538" xr:uid="{00000000-0005-0000-0000-0000071F0000}"/>
    <cellStyle name="40% - Accent2 8 2 4 4" xfId="26353" xr:uid="{00000000-0005-0000-0000-0000081F0000}"/>
    <cellStyle name="40% - Accent2 8 2 5" xfId="4529" xr:uid="{00000000-0005-0000-0000-0000091F0000}"/>
    <cellStyle name="40% - Accent2 8 2 5 2" xfId="6300" xr:uid="{00000000-0005-0000-0000-00000A1F0000}"/>
    <cellStyle name="40% - Accent2 8 2 5 2 2" xfId="11542" xr:uid="{00000000-0005-0000-0000-00000B1F0000}"/>
    <cellStyle name="40% - Accent2 8 2 5 2 3" xfId="11541" xr:uid="{00000000-0005-0000-0000-00000C1F0000}"/>
    <cellStyle name="40% - Accent2 8 2 5 2 4" xfId="26356" xr:uid="{00000000-0005-0000-0000-00000D1F0000}"/>
    <cellStyle name="40% - Accent2 8 2 5 3" xfId="11543" xr:uid="{00000000-0005-0000-0000-00000E1F0000}"/>
    <cellStyle name="40% - Accent2 8 2 5 3 2" xfId="11544" xr:uid="{00000000-0005-0000-0000-00000F1F0000}"/>
    <cellStyle name="40% - Accent2 8 2 5 4" xfId="11545" xr:uid="{00000000-0005-0000-0000-0000101F0000}"/>
    <cellStyle name="40% - Accent2 8 2 5 5" xfId="11540" xr:uid="{00000000-0005-0000-0000-0000111F0000}"/>
    <cellStyle name="40% - Accent2 8 2 5 6" xfId="26355" xr:uid="{00000000-0005-0000-0000-0000121F0000}"/>
    <cellStyle name="40% - Accent2 8 2 6" xfId="6293" xr:uid="{00000000-0005-0000-0000-0000131F0000}"/>
    <cellStyle name="40% - Accent2 8 2 6 2" xfId="11547" xr:uid="{00000000-0005-0000-0000-0000141F0000}"/>
    <cellStyle name="40% - Accent2 8 2 6 3" xfId="11546" xr:uid="{00000000-0005-0000-0000-0000151F0000}"/>
    <cellStyle name="40% - Accent2 8 2 6 4" xfId="26357" xr:uid="{00000000-0005-0000-0000-0000161F0000}"/>
    <cellStyle name="40% - Accent2 8 2 7" xfId="11548" xr:uid="{00000000-0005-0000-0000-0000171F0000}"/>
    <cellStyle name="40% - Accent2 8 2 7 2" xfId="11549" xr:uid="{00000000-0005-0000-0000-0000181F0000}"/>
    <cellStyle name="40% - Accent2 8 2 8" xfId="11550" xr:uid="{00000000-0005-0000-0000-0000191F0000}"/>
    <cellStyle name="40% - Accent2 8 2 9" xfId="11531" xr:uid="{00000000-0005-0000-0000-00001A1F0000}"/>
    <cellStyle name="40% - Accent2 8 3" xfId="3838" xr:uid="{00000000-0005-0000-0000-00001B1F0000}"/>
    <cellStyle name="40% - Accent2 8 3 2" xfId="5399" xr:uid="{00000000-0005-0000-0000-00001C1F0000}"/>
    <cellStyle name="40% - Accent2 8 3 2 2" xfId="6302" xr:uid="{00000000-0005-0000-0000-00001D1F0000}"/>
    <cellStyle name="40% - Accent2 8 3 2 2 2" xfId="11553" xr:uid="{00000000-0005-0000-0000-00001E1F0000}"/>
    <cellStyle name="40% - Accent2 8 3 2 2 3" xfId="26360" xr:uid="{00000000-0005-0000-0000-00001F1F0000}"/>
    <cellStyle name="40% - Accent2 8 3 2 3" xfId="11552" xr:uid="{00000000-0005-0000-0000-0000201F0000}"/>
    <cellStyle name="40% - Accent2 8 3 2 4" xfId="26359" xr:uid="{00000000-0005-0000-0000-0000211F0000}"/>
    <cellStyle name="40% - Accent2 8 3 3" xfId="5709" xr:uid="{00000000-0005-0000-0000-0000221F0000}"/>
    <cellStyle name="40% - Accent2 8 3 3 2" xfId="6303" xr:uid="{00000000-0005-0000-0000-0000231F0000}"/>
    <cellStyle name="40% - Accent2 8 3 3 2 2" xfId="26362" xr:uid="{00000000-0005-0000-0000-0000241F0000}"/>
    <cellStyle name="40% - Accent2 8 3 3 3" xfId="11554" xr:uid="{00000000-0005-0000-0000-0000251F0000}"/>
    <cellStyle name="40% - Accent2 8 3 3 4" xfId="26361" xr:uid="{00000000-0005-0000-0000-0000261F0000}"/>
    <cellStyle name="40% - Accent2 8 3 4" xfId="4531" xr:uid="{00000000-0005-0000-0000-0000271F0000}"/>
    <cellStyle name="40% - Accent2 8 3 4 2" xfId="6304" xr:uid="{00000000-0005-0000-0000-0000281F0000}"/>
    <cellStyle name="40% - Accent2 8 3 4 2 2" xfId="26364" xr:uid="{00000000-0005-0000-0000-0000291F0000}"/>
    <cellStyle name="40% - Accent2 8 3 4 3" xfId="26363" xr:uid="{00000000-0005-0000-0000-00002A1F0000}"/>
    <cellStyle name="40% - Accent2 8 3 5" xfId="6301" xr:uid="{00000000-0005-0000-0000-00002B1F0000}"/>
    <cellStyle name="40% - Accent2 8 3 5 2" xfId="26365" xr:uid="{00000000-0005-0000-0000-00002C1F0000}"/>
    <cellStyle name="40% - Accent2 8 3 6" xfId="11551" xr:uid="{00000000-0005-0000-0000-00002D1F0000}"/>
    <cellStyle name="40% - Accent2 8 3 7" xfId="24974" xr:uid="{00000000-0005-0000-0000-00002E1F0000}"/>
    <cellStyle name="40% - Accent2 8 3 8" xfId="26358" xr:uid="{00000000-0005-0000-0000-00002F1F0000}"/>
    <cellStyle name="40% - Accent2 8 4" xfId="5396" xr:uid="{00000000-0005-0000-0000-0000301F0000}"/>
    <cellStyle name="40% - Accent2 8 4 2" xfId="6305" xr:uid="{00000000-0005-0000-0000-0000311F0000}"/>
    <cellStyle name="40% - Accent2 8 4 2 2" xfId="11556" xr:uid="{00000000-0005-0000-0000-0000321F0000}"/>
    <cellStyle name="40% - Accent2 8 4 2 3" xfId="26367" xr:uid="{00000000-0005-0000-0000-0000331F0000}"/>
    <cellStyle name="40% - Accent2 8 4 3" xfId="11555" xr:uid="{00000000-0005-0000-0000-0000341F0000}"/>
    <cellStyle name="40% - Accent2 8 4 4" xfId="26366" xr:uid="{00000000-0005-0000-0000-0000351F0000}"/>
    <cellStyle name="40% - Accent2 8 5" xfId="5706" xr:uid="{00000000-0005-0000-0000-0000361F0000}"/>
    <cellStyle name="40% - Accent2 8 5 2" xfId="6306" xr:uid="{00000000-0005-0000-0000-0000371F0000}"/>
    <cellStyle name="40% - Accent2 8 5 2 2" xfId="11558" xr:uid="{00000000-0005-0000-0000-0000381F0000}"/>
    <cellStyle name="40% - Accent2 8 5 2 3" xfId="26369" xr:uid="{00000000-0005-0000-0000-0000391F0000}"/>
    <cellStyle name="40% - Accent2 8 5 3" xfId="11557" xr:uid="{00000000-0005-0000-0000-00003A1F0000}"/>
    <cellStyle name="40% - Accent2 8 5 4" xfId="26368" xr:uid="{00000000-0005-0000-0000-00003B1F0000}"/>
    <cellStyle name="40% - Accent2 8 6" xfId="4528" xr:uid="{00000000-0005-0000-0000-00003C1F0000}"/>
    <cellStyle name="40% - Accent2 8 6 2" xfId="6307" xr:uid="{00000000-0005-0000-0000-00003D1F0000}"/>
    <cellStyle name="40% - Accent2 8 6 2 2" xfId="11561" xr:uid="{00000000-0005-0000-0000-00003E1F0000}"/>
    <cellStyle name="40% - Accent2 8 6 2 3" xfId="11560" xr:uid="{00000000-0005-0000-0000-00003F1F0000}"/>
    <cellStyle name="40% - Accent2 8 6 2 4" xfId="26371" xr:uid="{00000000-0005-0000-0000-0000401F0000}"/>
    <cellStyle name="40% - Accent2 8 6 3" xfId="11562" xr:uid="{00000000-0005-0000-0000-0000411F0000}"/>
    <cellStyle name="40% - Accent2 8 6 3 2" xfId="11563" xr:uid="{00000000-0005-0000-0000-0000421F0000}"/>
    <cellStyle name="40% - Accent2 8 6 4" xfId="11564" xr:uid="{00000000-0005-0000-0000-0000431F0000}"/>
    <cellStyle name="40% - Accent2 8 6 5" xfId="11559" xr:uid="{00000000-0005-0000-0000-0000441F0000}"/>
    <cellStyle name="40% - Accent2 8 6 6" xfId="26370" xr:uid="{00000000-0005-0000-0000-0000451F0000}"/>
    <cellStyle name="40% - Accent2 8 7" xfId="6292" xr:uid="{00000000-0005-0000-0000-0000461F0000}"/>
    <cellStyle name="40% - Accent2 8 7 2" xfId="11566" xr:uid="{00000000-0005-0000-0000-0000471F0000}"/>
    <cellStyle name="40% - Accent2 8 7 3" xfId="11565" xr:uid="{00000000-0005-0000-0000-0000481F0000}"/>
    <cellStyle name="40% - Accent2 8 7 4" xfId="26372" xr:uid="{00000000-0005-0000-0000-0000491F0000}"/>
    <cellStyle name="40% - Accent2 8 8" xfId="11567" xr:uid="{00000000-0005-0000-0000-00004A1F0000}"/>
    <cellStyle name="40% - Accent2 8 8 2" xfId="11568" xr:uid="{00000000-0005-0000-0000-00004B1F0000}"/>
    <cellStyle name="40% - Accent2 8 9" xfId="11569" xr:uid="{00000000-0005-0000-0000-00004C1F0000}"/>
    <cellStyle name="40% - Accent2 9" xfId="542" xr:uid="{00000000-0005-0000-0000-00004D1F0000}"/>
    <cellStyle name="40% - Accent2 9 2" xfId="4532" xr:uid="{00000000-0005-0000-0000-00004E1F0000}"/>
    <cellStyle name="40% - Accent2 9 2 2" xfId="11572" xr:uid="{00000000-0005-0000-0000-00004F1F0000}"/>
    <cellStyle name="40% - Accent2 9 2 2 2" xfId="11573" xr:uid="{00000000-0005-0000-0000-0000501F0000}"/>
    <cellStyle name="40% - Accent2 9 2 3" xfId="11574" xr:uid="{00000000-0005-0000-0000-0000511F0000}"/>
    <cellStyle name="40% - Accent2 9 2 3 2" xfId="11575" xr:uid="{00000000-0005-0000-0000-0000521F0000}"/>
    <cellStyle name="40% - Accent2 9 2 4" xfId="11576" xr:uid="{00000000-0005-0000-0000-0000531F0000}"/>
    <cellStyle name="40% - Accent2 9 2 5" xfId="11571" xr:uid="{00000000-0005-0000-0000-0000541F0000}"/>
    <cellStyle name="40% - Accent2 9 3" xfId="11577" xr:uid="{00000000-0005-0000-0000-0000551F0000}"/>
    <cellStyle name="40% - Accent2 9 3 2" xfId="11578" xr:uid="{00000000-0005-0000-0000-0000561F0000}"/>
    <cellStyle name="40% - Accent2 9 4" xfId="11579" xr:uid="{00000000-0005-0000-0000-0000571F0000}"/>
    <cellStyle name="40% - Accent2 9 4 2" xfId="11580" xr:uid="{00000000-0005-0000-0000-0000581F0000}"/>
    <cellStyle name="40% - Accent2 9 5" xfId="11581" xr:uid="{00000000-0005-0000-0000-0000591F0000}"/>
    <cellStyle name="40% - Accent2 9 5 2" xfId="11582" xr:uid="{00000000-0005-0000-0000-00005A1F0000}"/>
    <cellStyle name="40% - Accent2 9 6" xfId="11583" xr:uid="{00000000-0005-0000-0000-00005B1F0000}"/>
    <cellStyle name="40% - Accent2 9 6 2" xfId="11584" xr:uid="{00000000-0005-0000-0000-00005C1F0000}"/>
    <cellStyle name="40% - Accent2 9 7" xfId="11585" xr:uid="{00000000-0005-0000-0000-00005D1F0000}"/>
    <cellStyle name="40% - Accent2 9 8" xfId="11570" xr:uid="{00000000-0005-0000-0000-00005E1F0000}"/>
    <cellStyle name="40% - Accent3 10" xfId="672" xr:uid="{00000000-0005-0000-0000-00005F1F0000}"/>
    <cellStyle name="40% - Accent3 10 2" xfId="4533" xr:uid="{00000000-0005-0000-0000-0000601F0000}"/>
    <cellStyle name="40% - Accent3 10 2 2" xfId="11589" xr:uid="{00000000-0005-0000-0000-0000611F0000}"/>
    <cellStyle name="40% - Accent3 10 2 3" xfId="11588" xr:uid="{00000000-0005-0000-0000-0000621F0000}"/>
    <cellStyle name="40% - Accent3 10 3" xfId="11590" xr:uid="{00000000-0005-0000-0000-0000631F0000}"/>
    <cellStyle name="40% - Accent3 10 3 2" xfId="11591" xr:uid="{00000000-0005-0000-0000-0000641F0000}"/>
    <cellStyle name="40% - Accent3 10 4" xfId="11592" xr:uid="{00000000-0005-0000-0000-0000651F0000}"/>
    <cellStyle name="40% - Accent3 10 4 2" xfId="11593" xr:uid="{00000000-0005-0000-0000-0000661F0000}"/>
    <cellStyle name="40% - Accent3 10 5" xfId="11594" xr:uid="{00000000-0005-0000-0000-0000671F0000}"/>
    <cellStyle name="40% - Accent3 10 5 2" xfId="11595" xr:uid="{00000000-0005-0000-0000-0000681F0000}"/>
    <cellStyle name="40% - Accent3 10 6" xfId="11596" xr:uid="{00000000-0005-0000-0000-0000691F0000}"/>
    <cellStyle name="40% - Accent3 10 7" xfId="11587" xr:uid="{00000000-0005-0000-0000-00006A1F0000}"/>
    <cellStyle name="40% - Accent3 11" xfId="673" xr:uid="{00000000-0005-0000-0000-00006B1F0000}"/>
    <cellStyle name="40% - Accent3 11 2" xfId="4534" xr:uid="{00000000-0005-0000-0000-00006C1F0000}"/>
    <cellStyle name="40% - Accent3 11 2 2" xfId="11599" xr:uid="{00000000-0005-0000-0000-00006D1F0000}"/>
    <cellStyle name="40% - Accent3 11 2 3" xfId="11598" xr:uid="{00000000-0005-0000-0000-00006E1F0000}"/>
    <cellStyle name="40% - Accent3 11 3" xfId="11600" xr:uid="{00000000-0005-0000-0000-00006F1F0000}"/>
    <cellStyle name="40% - Accent3 11 3 2" xfId="11601" xr:uid="{00000000-0005-0000-0000-0000701F0000}"/>
    <cellStyle name="40% - Accent3 11 4" xfId="11602" xr:uid="{00000000-0005-0000-0000-0000711F0000}"/>
    <cellStyle name="40% - Accent3 11 4 2" xfId="11603" xr:uid="{00000000-0005-0000-0000-0000721F0000}"/>
    <cellStyle name="40% - Accent3 11 5" xfId="11604" xr:uid="{00000000-0005-0000-0000-0000731F0000}"/>
    <cellStyle name="40% - Accent3 11 5 2" xfId="11605" xr:uid="{00000000-0005-0000-0000-0000741F0000}"/>
    <cellStyle name="40% - Accent3 11 6" xfId="11606" xr:uid="{00000000-0005-0000-0000-0000751F0000}"/>
    <cellStyle name="40% - Accent3 11 7" xfId="11597" xr:uid="{00000000-0005-0000-0000-0000761F0000}"/>
    <cellStyle name="40% - Accent3 12" xfId="822" xr:uid="{00000000-0005-0000-0000-0000771F0000}"/>
    <cellStyle name="40% - Accent3 12 2" xfId="11608" xr:uid="{00000000-0005-0000-0000-0000781F0000}"/>
    <cellStyle name="40% - Accent3 12 2 2" xfId="11609" xr:uid="{00000000-0005-0000-0000-0000791F0000}"/>
    <cellStyle name="40% - Accent3 12 3" xfId="11610" xr:uid="{00000000-0005-0000-0000-00007A1F0000}"/>
    <cellStyle name="40% - Accent3 12 3 2" xfId="11611" xr:uid="{00000000-0005-0000-0000-00007B1F0000}"/>
    <cellStyle name="40% - Accent3 12 4" xfId="11612" xr:uid="{00000000-0005-0000-0000-00007C1F0000}"/>
    <cellStyle name="40% - Accent3 12 5" xfId="11607" xr:uid="{00000000-0005-0000-0000-00007D1F0000}"/>
    <cellStyle name="40% - Accent3 13" xfId="823" xr:uid="{00000000-0005-0000-0000-00007E1F0000}"/>
    <cellStyle name="40% - Accent3 13 2" xfId="3853" xr:uid="{00000000-0005-0000-0000-00007F1F0000}"/>
    <cellStyle name="40% - Accent3 13 2 2" xfId="6309" xr:uid="{00000000-0005-0000-0000-0000801F0000}"/>
    <cellStyle name="40% - Accent3 13 2 2 2" xfId="11615" xr:uid="{00000000-0005-0000-0000-0000811F0000}"/>
    <cellStyle name="40% - Accent3 13 2 2 3" xfId="26375" xr:uid="{00000000-0005-0000-0000-0000821F0000}"/>
    <cellStyle name="40% - Accent3 13 2 3" xfId="11614" xr:uid="{00000000-0005-0000-0000-0000831F0000}"/>
    <cellStyle name="40% - Accent3 13 2 4" xfId="24989" xr:uid="{00000000-0005-0000-0000-0000841F0000}"/>
    <cellStyle name="40% - Accent3 13 2 5" xfId="26374" xr:uid="{00000000-0005-0000-0000-0000851F0000}"/>
    <cellStyle name="40% - Accent3 13 3" xfId="6308" xr:uid="{00000000-0005-0000-0000-0000861F0000}"/>
    <cellStyle name="40% - Accent3 13 3 2" xfId="11617" xr:uid="{00000000-0005-0000-0000-0000871F0000}"/>
    <cellStyle name="40% - Accent3 13 3 3" xfId="11616" xr:uid="{00000000-0005-0000-0000-0000881F0000}"/>
    <cellStyle name="40% - Accent3 13 3 4" xfId="26376" xr:uid="{00000000-0005-0000-0000-0000891F0000}"/>
    <cellStyle name="40% - Accent3 13 4" xfId="11618" xr:uid="{00000000-0005-0000-0000-00008A1F0000}"/>
    <cellStyle name="40% - Accent3 13 5" xfId="11613" xr:uid="{00000000-0005-0000-0000-00008B1F0000}"/>
    <cellStyle name="40% - Accent3 13 6" xfId="24868" xr:uid="{00000000-0005-0000-0000-00008C1F0000}"/>
    <cellStyle name="40% - Accent3 13 7" xfId="26373" xr:uid="{00000000-0005-0000-0000-00008D1F0000}"/>
    <cellStyle name="40% - Accent3 14" xfId="937" xr:uid="{00000000-0005-0000-0000-00008E1F0000}"/>
    <cellStyle name="40% - Accent3 14 2" xfId="11620" xr:uid="{00000000-0005-0000-0000-00008F1F0000}"/>
    <cellStyle name="40% - Accent3 14 2 2" xfId="11621" xr:uid="{00000000-0005-0000-0000-0000901F0000}"/>
    <cellStyle name="40% - Accent3 14 3" xfId="11622" xr:uid="{00000000-0005-0000-0000-0000911F0000}"/>
    <cellStyle name="40% - Accent3 14 3 2" xfId="11623" xr:uid="{00000000-0005-0000-0000-0000921F0000}"/>
    <cellStyle name="40% - Accent3 14 4" xfId="11624" xr:uid="{00000000-0005-0000-0000-0000931F0000}"/>
    <cellStyle name="40% - Accent3 14 5" xfId="11619" xr:uid="{00000000-0005-0000-0000-0000941F0000}"/>
    <cellStyle name="40% - Accent3 15" xfId="11625" xr:uid="{00000000-0005-0000-0000-0000951F0000}"/>
    <cellStyle name="40% - Accent3 15 2" xfId="11626" xr:uid="{00000000-0005-0000-0000-0000961F0000}"/>
    <cellStyle name="40% - Accent3 15 2 2" xfId="11627" xr:uid="{00000000-0005-0000-0000-0000971F0000}"/>
    <cellStyle name="40% - Accent3 15 3" xfId="11628" xr:uid="{00000000-0005-0000-0000-0000981F0000}"/>
    <cellStyle name="40% - Accent3 15 3 2" xfId="11629" xr:uid="{00000000-0005-0000-0000-0000991F0000}"/>
    <cellStyle name="40% - Accent3 15 4" xfId="11630" xr:uid="{00000000-0005-0000-0000-00009A1F0000}"/>
    <cellStyle name="40% - Accent3 16" xfId="11631" xr:uid="{00000000-0005-0000-0000-00009B1F0000}"/>
    <cellStyle name="40% - Accent3 16 2" xfId="11632" xr:uid="{00000000-0005-0000-0000-00009C1F0000}"/>
    <cellStyle name="40% - Accent3 16 2 2" xfId="11633" xr:uid="{00000000-0005-0000-0000-00009D1F0000}"/>
    <cellStyle name="40% - Accent3 16 3" xfId="11634" xr:uid="{00000000-0005-0000-0000-00009E1F0000}"/>
    <cellStyle name="40% - Accent3 16 3 2" xfId="11635" xr:uid="{00000000-0005-0000-0000-00009F1F0000}"/>
    <cellStyle name="40% - Accent3 16 4" xfId="11636" xr:uid="{00000000-0005-0000-0000-0000A01F0000}"/>
    <cellStyle name="40% - Accent3 17" xfId="11637" xr:uid="{00000000-0005-0000-0000-0000A11F0000}"/>
    <cellStyle name="40% - Accent3 17 2" xfId="11638" xr:uid="{00000000-0005-0000-0000-0000A21F0000}"/>
    <cellStyle name="40% - Accent3 17 2 2" xfId="11639" xr:uid="{00000000-0005-0000-0000-0000A31F0000}"/>
    <cellStyle name="40% - Accent3 17 3" xfId="11640" xr:uid="{00000000-0005-0000-0000-0000A41F0000}"/>
    <cellStyle name="40% - Accent3 17 3 2" xfId="11641" xr:uid="{00000000-0005-0000-0000-0000A51F0000}"/>
    <cellStyle name="40% - Accent3 17 4" xfId="11642" xr:uid="{00000000-0005-0000-0000-0000A61F0000}"/>
    <cellStyle name="40% - Accent3 18" xfId="11643" xr:uid="{00000000-0005-0000-0000-0000A71F0000}"/>
    <cellStyle name="40% - Accent3 18 2" xfId="11644" xr:uid="{00000000-0005-0000-0000-0000A81F0000}"/>
    <cellStyle name="40% - Accent3 18 2 2" xfId="11645" xr:uid="{00000000-0005-0000-0000-0000A91F0000}"/>
    <cellStyle name="40% - Accent3 18 3" xfId="11646" xr:uid="{00000000-0005-0000-0000-0000AA1F0000}"/>
    <cellStyle name="40% - Accent3 18 3 2" xfId="11647" xr:uid="{00000000-0005-0000-0000-0000AB1F0000}"/>
    <cellStyle name="40% - Accent3 18 4" xfId="11648" xr:uid="{00000000-0005-0000-0000-0000AC1F0000}"/>
    <cellStyle name="40% - Accent3 19" xfId="11649" xr:uid="{00000000-0005-0000-0000-0000AD1F0000}"/>
    <cellStyle name="40% - Accent3 19 2" xfId="11650" xr:uid="{00000000-0005-0000-0000-0000AE1F0000}"/>
    <cellStyle name="40% - Accent3 19 2 2" xfId="11651" xr:uid="{00000000-0005-0000-0000-0000AF1F0000}"/>
    <cellStyle name="40% - Accent3 19 3" xfId="11652" xr:uid="{00000000-0005-0000-0000-0000B01F0000}"/>
    <cellStyle name="40% - Accent3 2" xfId="76" xr:uid="{00000000-0005-0000-0000-0000B11F0000}"/>
    <cellStyle name="40% - Accent3 2 10" xfId="1675" xr:uid="{00000000-0005-0000-0000-0000B21F0000}"/>
    <cellStyle name="40% - Accent3 2 10 2" xfId="4535" xr:uid="{00000000-0005-0000-0000-0000B31F0000}"/>
    <cellStyle name="40% - Accent3 2 10 2 2" xfId="11656" xr:uid="{00000000-0005-0000-0000-0000B41F0000}"/>
    <cellStyle name="40% - Accent3 2 10 2 3" xfId="11655" xr:uid="{00000000-0005-0000-0000-0000B51F0000}"/>
    <cellStyle name="40% - Accent3 2 10 3" xfId="11657" xr:uid="{00000000-0005-0000-0000-0000B61F0000}"/>
    <cellStyle name="40% - Accent3 2 10 3 2" xfId="11658" xr:uid="{00000000-0005-0000-0000-0000B71F0000}"/>
    <cellStyle name="40% - Accent3 2 10 4" xfId="11659" xr:uid="{00000000-0005-0000-0000-0000B81F0000}"/>
    <cellStyle name="40% - Accent3 2 10 4 2" xfId="11660" xr:uid="{00000000-0005-0000-0000-0000B91F0000}"/>
    <cellStyle name="40% - Accent3 2 10 5" xfId="11661" xr:uid="{00000000-0005-0000-0000-0000BA1F0000}"/>
    <cellStyle name="40% - Accent3 2 10 5 2" xfId="11662" xr:uid="{00000000-0005-0000-0000-0000BB1F0000}"/>
    <cellStyle name="40% - Accent3 2 10 6" xfId="11663" xr:uid="{00000000-0005-0000-0000-0000BC1F0000}"/>
    <cellStyle name="40% - Accent3 2 10 7" xfId="11654" xr:uid="{00000000-0005-0000-0000-0000BD1F0000}"/>
    <cellStyle name="40% - Accent3 2 11" xfId="2010" xr:uid="{00000000-0005-0000-0000-0000BE1F0000}"/>
    <cellStyle name="40% - Accent3 2 11 2" xfId="4536" xr:uid="{00000000-0005-0000-0000-0000BF1F0000}"/>
    <cellStyle name="40% - Accent3 2 11 2 2" xfId="11666" xr:uid="{00000000-0005-0000-0000-0000C01F0000}"/>
    <cellStyle name="40% - Accent3 2 11 2 3" xfId="11665" xr:uid="{00000000-0005-0000-0000-0000C11F0000}"/>
    <cellStyle name="40% - Accent3 2 11 3" xfId="11667" xr:uid="{00000000-0005-0000-0000-0000C21F0000}"/>
    <cellStyle name="40% - Accent3 2 11 3 2" xfId="11668" xr:uid="{00000000-0005-0000-0000-0000C31F0000}"/>
    <cellStyle name="40% - Accent3 2 11 4" xfId="11669" xr:uid="{00000000-0005-0000-0000-0000C41F0000}"/>
    <cellStyle name="40% - Accent3 2 11 4 2" xfId="11670" xr:uid="{00000000-0005-0000-0000-0000C51F0000}"/>
    <cellStyle name="40% - Accent3 2 11 5" xfId="11671" xr:uid="{00000000-0005-0000-0000-0000C61F0000}"/>
    <cellStyle name="40% - Accent3 2 11 5 2" xfId="11672" xr:uid="{00000000-0005-0000-0000-0000C71F0000}"/>
    <cellStyle name="40% - Accent3 2 11 6" xfId="11673" xr:uid="{00000000-0005-0000-0000-0000C81F0000}"/>
    <cellStyle name="40% - Accent3 2 11 7" xfId="11664" xr:uid="{00000000-0005-0000-0000-0000C91F0000}"/>
    <cellStyle name="40% - Accent3 2 12" xfId="1708" xr:uid="{00000000-0005-0000-0000-0000CA1F0000}"/>
    <cellStyle name="40% - Accent3 2 12 2" xfId="4537" xr:uid="{00000000-0005-0000-0000-0000CB1F0000}"/>
    <cellStyle name="40% - Accent3 2 12 2 2" xfId="11676" xr:uid="{00000000-0005-0000-0000-0000CC1F0000}"/>
    <cellStyle name="40% - Accent3 2 12 2 3" xfId="11675" xr:uid="{00000000-0005-0000-0000-0000CD1F0000}"/>
    <cellStyle name="40% - Accent3 2 12 3" xfId="11677" xr:uid="{00000000-0005-0000-0000-0000CE1F0000}"/>
    <cellStyle name="40% - Accent3 2 12 3 2" xfId="11678" xr:uid="{00000000-0005-0000-0000-0000CF1F0000}"/>
    <cellStyle name="40% - Accent3 2 12 4" xfId="11679" xr:uid="{00000000-0005-0000-0000-0000D01F0000}"/>
    <cellStyle name="40% - Accent3 2 12 4 2" xfId="11680" xr:uid="{00000000-0005-0000-0000-0000D11F0000}"/>
    <cellStyle name="40% - Accent3 2 12 5" xfId="11681" xr:uid="{00000000-0005-0000-0000-0000D21F0000}"/>
    <cellStyle name="40% - Accent3 2 12 5 2" xfId="11682" xr:uid="{00000000-0005-0000-0000-0000D31F0000}"/>
    <cellStyle name="40% - Accent3 2 12 6" xfId="11683" xr:uid="{00000000-0005-0000-0000-0000D41F0000}"/>
    <cellStyle name="40% - Accent3 2 12 7" xfId="11674" xr:uid="{00000000-0005-0000-0000-0000D51F0000}"/>
    <cellStyle name="40% - Accent3 2 13" xfId="2043" xr:uid="{00000000-0005-0000-0000-0000D61F0000}"/>
    <cellStyle name="40% - Accent3 2 13 2" xfId="4538" xr:uid="{00000000-0005-0000-0000-0000D71F0000}"/>
    <cellStyle name="40% - Accent3 2 13 2 2" xfId="11686" xr:uid="{00000000-0005-0000-0000-0000D81F0000}"/>
    <cellStyle name="40% - Accent3 2 13 2 3" xfId="11685" xr:uid="{00000000-0005-0000-0000-0000D91F0000}"/>
    <cellStyle name="40% - Accent3 2 13 3" xfId="11687" xr:uid="{00000000-0005-0000-0000-0000DA1F0000}"/>
    <cellStyle name="40% - Accent3 2 13 3 2" xfId="11688" xr:uid="{00000000-0005-0000-0000-0000DB1F0000}"/>
    <cellStyle name="40% - Accent3 2 13 4" xfId="11689" xr:uid="{00000000-0005-0000-0000-0000DC1F0000}"/>
    <cellStyle name="40% - Accent3 2 13 4 2" xfId="11690" xr:uid="{00000000-0005-0000-0000-0000DD1F0000}"/>
    <cellStyle name="40% - Accent3 2 13 5" xfId="11691" xr:uid="{00000000-0005-0000-0000-0000DE1F0000}"/>
    <cellStyle name="40% - Accent3 2 13 5 2" xfId="11692" xr:uid="{00000000-0005-0000-0000-0000DF1F0000}"/>
    <cellStyle name="40% - Accent3 2 13 6" xfId="11693" xr:uid="{00000000-0005-0000-0000-0000E01F0000}"/>
    <cellStyle name="40% - Accent3 2 13 7" xfId="11684" xr:uid="{00000000-0005-0000-0000-0000E11F0000}"/>
    <cellStyle name="40% - Accent3 2 14" xfId="3131" xr:uid="{00000000-0005-0000-0000-0000E21F0000}"/>
    <cellStyle name="40% - Accent3 2 14 2" xfId="4539" xr:uid="{00000000-0005-0000-0000-0000E31F0000}"/>
    <cellStyle name="40% - Accent3 2 14 2 2" xfId="11696" xr:uid="{00000000-0005-0000-0000-0000E41F0000}"/>
    <cellStyle name="40% - Accent3 2 14 2 3" xfId="11695" xr:uid="{00000000-0005-0000-0000-0000E51F0000}"/>
    <cellStyle name="40% - Accent3 2 14 3" xfId="11697" xr:uid="{00000000-0005-0000-0000-0000E61F0000}"/>
    <cellStyle name="40% - Accent3 2 14 3 2" xfId="11698" xr:uid="{00000000-0005-0000-0000-0000E71F0000}"/>
    <cellStyle name="40% - Accent3 2 14 4" xfId="11699" xr:uid="{00000000-0005-0000-0000-0000E81F0000}"/>
    <cellStyle name="40% - Accent3 2 14 4 2" xfId="11700" xr:uid="{00000000-0005-0000-0000-0000E91F0000}"/>
    <cellStyle name="40% - Accent3 2 14 5" xfId="11701" xr:uid="{00000000-0005-0000-0000-0000EA1F0000}"/>
    <cellStyle name="40% - Accent3 2 14 5 2" xfId="11702" xr:uid="{00000000-0005-0000-0000-0000EB1F0000}"/>
    <cellStyle name="40% - Accent3 2 14 6" xfId="11703" xr:uid="{00000000-0005-0000-0000-0000EC1F0000}"/>
    <cellStyle name="40% - Accent3 2 14 7" xfId="11694" xr:uid="{00000000-0005-0000-0000-0000ED1F0000}"/>
    <cellStyle name="40% - Accent3 2 15" xfId="3502" xr:uid="{00000000-0005-0000-0000-0000EE1F0000}"/>
    <cellStyle name="40% - Accent3 2 15 2" xfId="4540" xr:uid="{00000000-0005-0000-0000-0000EF1F0000}"/>
    <cellStyle name="40% - Accent3 2 15 2 2" xfId="11706" xr:uid="{00000000-0005-0000-0000-0000F01F0000}"/>
    <cellStyle name="40% - Accent3 2 15 2 3" xfId="11705" xr:uid="{00000000-0005-0000-0000-0000F11F0000}"/>
    <cellStyle name="40% - Accent3 2 15 3" xfId="11707" xr:uid="{00000000-0005-0000-0000-0000F21F0000}"/>
    <cellStyle name="40% - Accent3 2 15 3 2" xfId="11708" xr:uid="{00000000-0005-0000-0000-0000F31F0000}"/>
    <cellStyle name="40% - Accent3 2 15 4" xfId="11709" xr:uid="{00000000-0005-0000-0000-0000F41F0000}"/>
    <cellStyle name="40% - Accent3 2 15 5" xfId="11704" xr:uid="{00000000-0005-0000-0000-0000F51F0000}"/>
    <cellStyle name="40% - Accent3 2 16" xfId="3640" xr:uid="{00000000-0005-0000-0000-0000F61F0000}"/>
    <cellStyle name="40% - Accent3 2 16 2" xfId="4541" xr:uid="{00000000-0005-0000-0000-0000F71F0000}"/>
    <cellStyle name="40% - Accent3 2 16 2 2" xfId="11712" xr:uid="{00000000-0005-0000-0000-0000F81F0000}"/>
    <cellStyle name="40% - Accent3 2 16 2 3" xfId="11711" xr:uid="{00000000-0005-0000-0000-0000F91F0000}"/>
    <cellStyle name="40% - Accent3 2 16 3" xfId="11713" xr:uid="{00000000-0005-0000-0000-0000FA1F0000}"/>
    <cellStyle name="40% - Accent3 2 16 3 2" xfId="11714" xr:uid="{00000000-0005-0000-0000-0000FB1F0000}"/>
    <cellStyle name="40% - Accent3 2 16 4" xfId="11715" xr:uid="{00000000-0005-0000-0000-0000FC1F0000}"/>
    <cellStyle name="40% - Accent3 2 16 5" xfId="11710" xr:uid="{00000000-0005-0000-0000-0000FD1F0000}"/>
    <cellStyle name="40% - Accent3 2 17" xfId="11716" xr:uid="{00000000-0005-0000-0000-0000FE1F0000}"/>
    <cellStyle name="40% - Accent3 2 18" xfId="11653" xr:uid="{00000000-0005-0000-0000-0000FF1F0000}"/>
    <cellStyle name="40% - Accent3 2 19" xfId="24475" xr:uid="{00000000-0005-0000-0000-000000200000}"/>
    <cellStyle name="40% - Accent3 2 2" xfId="120" xr:uid="{00000000-0005-0000-0000-000001200000}"/>
    <cellStyle name="40% - Accent3 2 2 10" xfId="11718" xr:uid="{00000000-0005-0000-0000-000002200000}"/>
    <cellStyle name="40% - Accent3 2 2 10 2" xfId="11719" xr:uid="{00000000-0005-0000-0000-000003200000}"/>
    <cellStyle name="40% - Accent3 2 2 10 2 2" xfId="11720" xr:uid="{00000000-0005-0000-0000-000004200000}"/>
    <cellStyle name="40% - Accent3 2 2 10 3" xfId="11721" xr:uid="{00000000-0005-0000-0000-000005200000}"/>
    <cellStyle name="40% - Accent3 2 2 10 3 2" xfId="11722" xr:uid="{00000000-0005-0000-0000-000006200000}"/>
    <cellStyle name="40% - Accent3 2 2 10 4" xfId="11723" xr:uid="{00000000-0005-0000-0000-000007200000}"/>
    <cellStyle name="40% - Accent3 2 2 11" xfId="11724" xr:uid="{00000000-0005-0000-0000-000008200000}"/>
    <cellStyle name="40% - Accent3 2 2 11 2" xfId="11725" xr:uid="{00000000-0005-0000-0000-000009200000}"/>
    <cellStyle name="40% - Accent3 2 2 11 2 2" xfId="11726" xr:uid="{00000000-0005-0000-0000-00000A200000}"/>
    <cellStyle name="40% - Accent3 2 2 11 3" xfId="11727" xr:uid="{00000000-0005-0000-0000-00000B200000}"/>
    <cellStyle name="40% - Accent3 2 2 11 3 2" xfId="11728" xr:uid="{00000000-0005-0000-0000-00000C200000}"/>
    <cellStyle name="40% - Accent3 2 2 11 4" xfId="11729" xr:uid="{00000000-0005-0000-0000-00000D200000}"/>
    <cellStyle name="40% - Accent3 2 2 12" xfId="11730" xr:uid="{00000000-0005-0000-0000-00000E200000}"/>
    <cellStyle name="40% - Accent3 2 2 12 2" xfId="11731" xr:uid="{00000000-0005-0000-0000-00000F200000}"/>
    <cellStyle name="40% - Accent3 2 2 12 2 2" xfId="11732" xr:uid="{00000000-0005-0000-0000-000010200000}"/>
    <cellStyle name="40% - Accent3 2 2 12 3" xfId="11733" xr:uid="{00000000-0005-0000-0000-000011200000}"/>
    <cellStyle name="40% - Accent3 2 2 12 3 2" xfId="11734" xr:uid="{00000000-0005-0000-0000-000012200000}"/>
    <cellStyle name="40% - Accent3 2 2 12 4" xfId="11735" xr:uid="{00000000-0005-0000-0000-000013200000}"/>
    <cellStyle name="40% - Accent3 2 2 13" xfId="11736" xr:uid="{00000000-0005-0000-0000-000014200000}"/>
    <cellStyle name="40% - Accent3 2 2 13 2" xfId="11737" xr:uid="{00000000-0005-0000-0000-000015200000}"/>
    <cellStyle name="40% - Accent3 2 2 14" xfId="11738" xr:uid="{00000000-0005-0000-0000-000016200000}"/>
    <cellStyle name="40% - Accent3 2 2 14 2" xfId="11739" xr:uid="{00000000-0005-0000-0000-000017200000}"/>
    <cellStyle name="40% - Accent3 2 2 15" xfId="11740" xr:uid="{00000000-0005-0000-0000-000018200000}"/>
    <cellStyle name="40% - Accent3 2 2 15 2" xfId="11741" xr:uid="{00000000-0005-0000-0000-000019200000}"/>
    <cellStyle name="40% - Accent3 2 2 16" xfId="11742" xr:uid="{00000000-0005-0000-0000-00001A200000}"/>
    <cellStyle name="40% - Accent3 2 2 17" xfId="11717" xr:uid="{00000000-0005-0000-0000-00001B200000}"/>
    <cellStyle name="40% - Accent3 2 2 2" xfId="180" xr:uid="{00000000-0005-0000-0000-00001C200000}"/>
    <cellStyle name="40% - Accent3 2 2 2 2" xfId="11744" xr:uid="{00000000-0005-0000-0000-00001D200000}"/>
    <cellStyle name="40% - Accent3 2 2 2 2 2" xfId="11745" xr:uid="{00000000-0005-0000-0000-00001E200000}"/>
    <cellStyle name="40% - Accent3 2 2 2 3" xfId="11746" xr:uid="{00000000-0005-0000-0000-00001F200000}"/>
    <cellStyle name="40% - Accent3 2 2 2 3 2" xfId="11747" xr:uid="{00000000-0005-0000-0000-000020200000}"/>
    <cellStyle name="40% - Accent3 2 2 2 4" xfId="11748" xr:uid="{00000000-0005-0000-0000-000021200000}"/>
    <cellStyle name="40% - Accent3 2 2 2 5" xfId="11743" xr:uid="{00000000-0005-0000-0000-000022200000}"/>
    <cellStyle name="40% - Accent3 2 2 3" xfId="344" xr:uid="{00000000-0005-0000-0000-000023200000}"/>
    <cellStyle name="40% - Accent3 2 2 3 2" xfId="11750" xr:uid="{00000000-0005-0000-0000-000024200000}"/>
    <cellStyle name="40% - Accent3 2 2 3 2 2" xfId="11751" xr:uid="{00000000-0005-0000-0000-000025200000}"/>
    <cellStyle name="40% - Accent3 2 2 3 3" xfId="11752" xr:uid="{00000000-0005-0000-0000-000026200000}"/>
    <cellStyle name="40% - Accent3 2 2 3 3 2" xfId="11753" xr:uid="{00000000-0005-0000-0000-000027200000}"/>
    <cellStyle name="40% - Accent3 2 2 3 4" xfId="11754" xr:uid="{00000000-0005-0000-0000-000028200000}"/>
    <cellStyle name="40% - Accent3 2 2 3 5" xfId="11749" xr:uid="{00000000-0005-0000-0000-000029200000}"/>
    <cellStyle name="40% - Accent3 2 2 4" xfId="2166" xr:uid="{00000000-0005-0000-0000-00002A200000}"/>
    <cellStyle name="40% - Accent3 2 2 4 2" xfId="11756" xr:uid="{00000000-0005-0000-0000-00002B200000}"/>
    <cellStyle name="40% - Accent3 2 2 4 2 2" xfId="11757" xr:uid="{00000000-0005-0000-0000-00002C200000}"/>
    <cellStyle name="40% - Accent3 2 2 4 3" xfId="11758" xr:uid="{00000000-0005-0000-0000-00002D200000}"/>
    <cellStyle name="40% - Accent3 2 2 4 3 2" xfId="11759" xr:uid="{00000000-0005-0000-0000-00002E200000}"/>
    <cellStyle name="40% - Accent3 2 2 4 4" xfId="11760" xr:uid="{00000000-0005-0000-0000-00002F200000}"/>
    <cellStyle name="40% - Accent3 2 2 4 5" xfId="11755" xr:uid="{00000000-0005-0000-0000-000030200000}"/>
    <cellStyle name="40% - Accent3 2 2 5" xfId="2540" xr:uid="{00000000-0005-0000-0000-000031200000}"/>
    <cellStyle name="40% - Accent3 2 2 5 2" xfId="11762" xr:uid="{00000000-0005-0000-0000-000032200000}"/>
    <cellStyle name="40% - Accent3 2 2 5 2 2" xfId="11763" xr:uid="{00000000-0005-0000-0000-000033200000}"/>
    <cellStyle name="40% - Accent3 2 2 5 3" xfId="11764" xr:uid="{00000000-0005-0000-0000-000034200000}"/>
    <cellStyle name="40% - Accent3 2 2 5 3 2" xfId="11765" xr:uid="{00000000-0005-0000-0000-000035200000}"/>
    <cellStyle name="40% - Accent3 2 2 5 4" xfId="11766" xr:uid="{00000000-0005-0000-0000-000036200000}"/>
    <cellStyle name="40% - Accent3 2 2 5 5" xfId="11761" xr:uid="{00000000-0005-0000-0000-000037200000}"/>
    <cellStyle name="40% - Accent3 2 2 6" xfId="2912" xr:uid="{00000000-0005-0000-0000-000038200000}"/>
    <cellStyle name="40% - Accent3 2 2 6 2" xfId="11768" xr:uid="{00000000-0005-0000-0000-000039200000}"/>
    <cellStyle name="40% - Accent3 2 2 6 2 2" xfId="11769" xr:uid="{00000000-0005-0000-0000-00003A200000}"/>
    <cellStyle name="40% - Accent3 2 2 6 3" xfId="11770" xr:uid="{00000000-0005-0000-0000-00003B200000}"/>
    <cellStyle name="40% - Accent3 2 2 6 3 2" xfId="11771" xr:uid="{00000000-0005-0000-0000-00003C200000}"/>
    <cellStyle name="40% - Accent3 2 2 6 4" xfId="11772" xr:uid="{00000000-0005-0000-0000-00003D200000}"/>
    <cellStyle name="40% - Accent3 2 2 6 5" xfId="11767" xr:uid="{00000000-0005-0000-0000-00003E200000}"/>
    <cellStyle name="40% - Accent3 2 2 7" xfId="3284" xr:uid="{00000000-0005-0000-0000-00003F200000}"/>
    <cellStyle name="40% - Accent3 2 2 7 2" xfId="11774" xr:uid="{00000000-0005-0000-0000-000040200000}"/>
    <cellStyle name="40% - Accent3 2 2 7 2 2" xfId="11775" xr:uid="{00000000-0005-0000-0000-000041200000}"/>
    <cellStyle name="40% - Accent3 2 2 7 3" xfId="11776" xr:uid="{00000000-0005-0000-0000-000042200000}"/>
    <cellStyle name="40% - Accent3 2 2 7 3 2" xfId="11777" xr:uid="{00000000-0005-0000-0000-000043200000}"/>
    <cellStyle name="40% - Accent3 2 2 7 4" xfId="11778" xr:uid="{00000000-0005-0000-0000-000044200000}"/>
    <cellStyle name="40% - Accent3 2 2 7 5" xfId="11773" xr:uid="{00000000-0005-0000-0000-000045200000}"/>
    <cellStyle name="40% - Accent3 2 2 8" xfId="4542" xr:uid="{00000000-0005-0000-0000-000046200000}"/>
    <cellStyle name="40% - Accent3 2 2 8 2" xfId="11780" xr:uid="{00000000-0005-0000-0000-000047200000}"/>
    <cellStyle name="40% - Accent3 2 2 8 2 2" xfId="11781" xr:uid="{00000000-0005-0000-0000-000048200000}"/>
    <cellStyle name="40% - Accent3 2 2 8 3" xfId="11782" xr:uid="{00000000-0005-0000-0000-000049200000}"/>
    <cellStyle name="40% - Accent3 2 2 8 3 2" xfId="11783" xr:uid="{00000000-0005-0000-0000-00004A200000}"/>
    <cellStyle name="40% - Accent3 2 2 8 4" xfId="11784" xr:uid="{00000000-0005-0000-0000-00004B200000}"/>
    <cellStyle name="40% - Accent3 2 2 8 5" xfId="11779" xr:uid="{00000000-0005-0000-0000-00004C200000}"/>
    <cellStyle name="40% - Accent3 2 2 9" xfId="11785" xr:uid="{00000000-0005-0000-0000-00004D200000}"/>
    <cellStyle name="40% - Accent3 2 2 9 2" xfId="11786" xr:uid="{00000000-0005-0000-0000-00004E200000}"/>
    <cellStyle name="40% - Accent3 2 2 9 2 2" xfId="11787" xr:uid="{00000000-0005-0000-0000-00004F200000}"/>
    <cellStyle name="40% - Accent3 2 2 9 3" xfId="11788" xr:uid="{00000000-0005-0000-0000-000050200000}"/>
    <cellStyle name="40% - Accent3 2 2 9 3 2" xfId="11789" xr:uid="{00000000-0005-0000-0000-000051200000}"/>
    <cellStyle name="40% - Accent3 2 2 9 4" xfId="11790" xr:uid="{00000000-0005-0000-0000-000052200000}"/>
    <cellStyle name="40% - Accent3 2 3" xfId="285" xr:uid="{00000000-0005-0000-0000-000053200000}"/>
    <cellStyle name="40% - Accent3 2 3 2" xfId="1342" xr:uid="{00000000-0005-0000-0000-000054200000}"/>
    <cellStyle name="40% - Accent3 2 3 2 2" xfId="11793" xr:uid="{00000000-0005-0000-0000-000055200000}"/>
    <cellStyle name="40% - Accent3 2 3 2 2 2" xfId="11794" xr:uid="{00000000-0005-0000-0000-000056200000}"/>
    <cellStyle name="40% - Accent3 2 3 2 3" xfId="11795" xr:uid="{00000000-0005-0000-0000-000057200000}"/>
    <cellStyle name="40% - Accent3 2 3 2 3 2" xfId="11796" xr:uid="{00000000-0005-0000-0000-000058200000}"/>
    <cellStyle name="40% - Accent3 2 3 2 4" xfId="11797" xr:uid="{00000000-0005-0000-0000-000059200000}"/>
    <cellStyle name="40% - Accent3 2 3 2 5" xfId="11792" xr:uid="{00000000-0005-0000-0000-00005A200000}"/>
    <cellStyle name="40% - Accent3 2 3 3" xfId="11798" xr:uid="{00000000-0005-0000-0000-00005B200000}"/>
    <cellStyle name="40% - Accent3 2 3 3 2" xfId="11799" xr:uid="{00000000-0005-0000-0000-00005C200000}"/>
    <cellStyle name="40% - Accent3 2 3 4" xfId="11800" xr:uid="{00000000-0005-0000-0000-00005D200000}"/>
    <cellStyle name="40% - Accent3 2 3 4 2" xfId="11801" xr:uid="{00000000-0005-0000-0000-00005E200000}"/>
    <cellStyle name="40% - Accent3 2 3 5" xfId="11802" xr:uid="{00000000-0005-0000-0000-00005F200000}"/>
    <cellStyle name="40% - Accent3 2 3 6" xfId="11791" xr:uid="{00000000-0005-0000-0000-000060200000}"/>
    <cellStyle name="40% - Accent3 2 4" xfId="390" xr:uid="{00000000-0005-0000-0000-000061200000}"/>
    <cellStyle name="40% - Accent3 2 4 2" xfId="11804" xr:uid="{00000000-0005-0000-0000-000062200000}"/>
    <cellStyle name="40% - Accent3 2 4 2 2" xfId="11805" xr:uid="{00000000-0005-0000-0000-000063200000}"/>
    <cellStyle name="40% - Accent3 2 4 2 2 2" xfId="11806" xr:uid="{00000000-0005-0000-0000-000064200000}"/>
    <cellStyle name="40% - Accent3 2 4 2 3" xfId="11807" xr:uid="{00000000-0005-0000-0000-000065200000}"/>
    <cellStyle name="40% - Accent3 2 4 2 3 2" xfId="11808" xr:uid="{00000000-0005-0000-0000-000066200000}"/>
    <cellStyle name="40% - Accent3 2 4 2 4" xfId="11809" xr:uid="{00000000-0005-0000-0000-000067200000}"/>
    <cellStyle name="40% - Accent3 2 4 3" xfId="11810" xr:uid="{00000000-0005-0000-0000-000068200000}"/>
    <cellStyle name="40% - Accent3 2 4 3 2" xfId="11811" xr:uid="{00000000-0005-0000-0000-000069200000}"/>
    <cellStyle name="40% - Accent3 2 4 4" xfId="11812" xr:uid="{00000000-0005-0000-0000-00006A200000}"/>
    <cellStyle name="40% - Accent3 2 4 4 2" xfId="11813" xr:uid="{00000000-0005-0000-0000-00006B200000}"/>
    <cellStyle name="40% - Accent3 2 4 5" xfId="11814" xr:uid="{00000000-0005-0000-0000-00006C200000}"/>
    <cellStyle name="40% - Accent3 2 4 6" xfId="11803" xr:uid="{00000000-0005-0000-0000-00006D200000}"/>
    <cellStyle name="40% - Accent3 2 5" xfId="543" xr:uid="{00000000-0005-0000-0000-00006E200000}"/>
    <cellStyle name="40% - Accent3 2 5 2" xfId="11816" xr:uid="{00000000-0005-0000-0000-00006F200000}"/>
    <cellStyle name="40% - Accent3 2 5 2 2" xfId="11817" xr:uid="{00000000-0005-0000-0000-000070200000}"/>
    <cellStyle name="40% - Accent3 2 5 3" xfId="11818" xr:uid="{00000000-0005-0000-0000-000071200000}"/>
    <cellStyle name="40% - Accent3 2 5 3 2" xfId="11819" xr:uid="{00000000-0005-0000-0000-000072200000}"/>
    <cellStyle name="40% - Accent3 2 5 4" xfId="11820" xr:uid="{00000000-0005-0000-0000-000073200000}"/>
    <cellStyle name="40% - Accent3 2 5 5" xfId="11815" xr:uid="{00000000-0005-0000-0000-000074200000}"/>
    <cellStyle name="40% - Accent3 2 6" xfId="674" xr:uid="{00000000-0005-0000-0000-000075200000}"/>
    <cellStyle name="40% - Accent3 2 6 2" xfId="11822" xr:uid="{00000000-0005-0000-0000-000076200000}"/>
    <cellStyle name="40% - Accent3 2 6 2 2" xfId="11823" xr:uid="{00000000-0005-0000-0000-000077200000}"/>
    <cellStyle name="40% - Accent3 2 6 3" xfId="11824" xr:uid="{00000000-0005-0000-0000-000078200000}"/>
    <cellStyle name="40% - Accent3 2 6 3 2" xfId="11825" xr:uid="{00000000-0005-0000-0000-000079200000}"/>
    <cellStyle name="40% - Accent3 2 6 4" xfId="11826" xr:uid="{00000000-0005-0000-0000-00007A200000}"/>
    <cellStyle name="40% - Accent3 2 6 5" xfId="11821" xr:uid="{00000000-0005-0000-0000-00007B200000}"/>
    <cellStyle name="40% - Accent3 2 7" xfId="675" xr:uid="{00000000-0005-0000-0000-00007C200000}"/>
    <cellStyle name="40% - Accent3 2 7 2" xfId="11828" xr:uid="{00000000-0005-0000-0000-00007D200000}"/>
    <cellStyle name="40% - Accent3 2 7 2 2" xfId="11829" xr:uid="{00000000-0005-0000-0000-00007E200000}"/>
    <cellStyle name="40% - Accent3 2 7 3" xfId="11830" xr:uid="{00000000-0005-0000-0000-00007F200000}"/>
    <cellStyle name="40% - Accent3 2 7 3 2" xfId="11831" xr:uid="{00000000-0005-0000-0000-000080200000}"/>
    <cellStyle name="40% - Accent3 2 7 4" xfId="11832" xr:uid="{00000000-0005-0000-0000-000081200000}"/>
    <cellStyle name="40% - Accent3 2 7 5" xfId="11827" xr:uid="{00000000-0005-0000-0000-000082200000}"/>
    <cellStyle name="40% - Accent3 2 8" xfId="824" xr:uid="{00000000-0005-0000-0000-000083200000}"/>
    <cellStyle name="40% - Accent3 2 8 2" xfId="1404" xr:uid="{00000000-0005-0000-0000-000084200000}"/>
    <cellStyle name="40% - Accent3 2 8 2 2" xfId="11835" xr:uid="{00000000-0005-0000-0000-000085200000}"/>
    <cellStyle name="40% - Accent3 2 8 2 3" xfId="11834" xr:uid="{00000000-0005-0000-0000-000086200000}"/>
    <cellStyle name="40% - Accent3 2 8 3" xfId="11836" xr:uid="{00000000-0005-0000-0000-000087200000}"/>
    <cellStyle name="40% - Accent3 2 8 3 2" xfId="11837" xr:uid="{00000000-0005-0000-0000-000088200000}"/>
    <cellStyle name="40% - Accent3 2 8 4" xfId="11838" xr:uid="{00000000-0005-0000-0000-000089200000}"/>
    <cellStyle name="40% - Accent3 2 8 4 2" xfId="11839" xr:uid="{00000000-0005-0000-0000-00008A200000}"/>
    <cellStyle name="40% - Accent3 2 8 5" xfId="11840" xr:uid="{00000000-0005-0000-0000-00008B200000}"/>
    <cellStyle name="40% - Accent3 2 8 5 2" xfId="11841" xr:uid="{00000000-0005-0000-0000-00008C200000}"/>
    <cellStyle name="40% - Accent3 2 8 6" xfId="11842" xr:uid="{00000000-0005-0000-0000-00008D200000}"/>
    <cellStyle name="40% - Accent3 2 8 7" xfId="11833" xr:uid="{00000000-0005-0000-0000-00008E200000}"/>
    <cellStyle name="40% - Accent3 2 9" xfId="938" xr:uid="{00000000-0005-0000-0000-00008F200000}"/>
    <cellStyle name="40% - Accent3 2 9 2" xfId="1444" xr:uid="{00000000-0005-0000-0000-000090200000}"/>
    <cellStyle name="40% - Accent3 2 9 2 2" xfId="11845" xr:uid="{00000000-0005-0000-0000-000091200000}"/>
    <cellStyle name="40% - Accent3 2 9 2 3" xfId="11844" xr:uid="{00000000-0005-0000-0000-000092200000}"/>
    <cellStyle name="40% - Accent3 2 9 3" xfId="11846" xr:uid="{00000000-0005-0000-0000-000093200000}"/>
    <cellStyle name="40% - Accent3 2 9 3 2" xfId="11847" xr:uid="{00000000-0005-0000-0000-000094200000}"/>
    <cellStyle name="40% - Accent3 2 9 4" xfId="11848" xr:uid="{00000000-0005-0000-0000-000095200000}"/>
    <cellStyle name="40% - Accent3 2 9 4 2" xfId="11849" xr:uid="{00000000-0005-0000-0000-000096200000}"/>
    <cellStyle name="40% - Accent3 2 9 5" xfId="11850" xr:uid="{00000000-0005-0000-0000-000097200000}"/>
    <cellStyle name="40% - Accent3 2 9 5 2" xfId="11851" xr:uid="{00000000-0005-0000-0000-000098200000}"/>
    <cellStyle name="40% - Accent3 2 9 6" xfId="11852" xr:uid="{00000000-0005-0000-0000-000099200000}"/>
    <cellStyle name="40% - Accent3 2 9 7" xfId="11843" xr:uid="{00000000-0005-0000-0000-00009A200000}"/>
    <cellStyle name="40% - Accent3 20" xfId="11853" xr:uid="{00000000-0005-0000-0000-00009B200000}"/>
    <cellStyle name="40% - Accent3 20 2" xfId="11854" xr:uid="{00000000-0005-0000-0000-00009C200000}"/>
    <cellStyle name="40% - Accent3 21" xfId="11855" xr:uid="{00000000-0005-0000-0000-00009D200000}"/>
    <cellStyle name="40% - Accent3 21 2" xfId="11856" xr:uid="{00000000-0005-0000-0000-00009E200000}"/>
    <cellStyle name="40% - Accent3 21 2 2" xfId="11857" xr:uid="{00000000-0005-0000-0000-00009F200000}"/>
    <cellStyle name="40% - Accent3 21 2 2 2" xfId="11858" xr:uid="{00000000-0005-0000-0000-0000A0200000}"/>
    <cellStyle name="40% - Accent3 21 2 3" xfId="11859" xr:uid="{00000000-0005-0000-0000-0000A1200000}"/>
    <cellStyle name="40% - Accent3 21 2 3 2" xfId="11860" xr:uid="{00000000-0005-0000-0000-0000A2200000}"/>
    <cellStyle name="40% - Accent3 21 2 4" xfId="11861" xr:uid="{00000000-0005-0000-0000-0000A3200000}"/>
    <cellStyle name="40% - Accent3 21 3" xfId="11862" xr:uid="{00000000-0005-0000-0000-0000A4200000}"/>
    <cellStyle name="40% - Accent3 21 3 2" xfId="11863" xr:uid="{00000000-0005-0000-0000-0000A5200000}"/>
    <cellStyle name="40% - Accent3 21 4" xfId="11864" xr:uid="{00000000-0005-0000-0000-0000A6200000}"/>
    <cellStyle name="40% - Accent3 21 4 2" xfId="11865" xr:uid="{00000000-0005-0000-0000-0000A7200000}"/>
    <cellStyle name="40% - Accent3 21 5" xfId="11866" xr:uid="{00000000-0005-0000-0000-0000A8200000}"/>
    <cellStyle name="40% - Accent3 22" xfId="11867" xr:uid="{00000000-0005-0000-0000-0000A9200000}"/>
    <cellStyle name="40% - Accent3 22 2" xfId="11868" xr:uid="{00000000-0005-0000-0000-0000AA200000}"/>
    <cellStyle name="40% - Accent3 22 2 2" xfId="11869" xr:uid="{00000000-0005-0000-0000-0000AB200000}"/>
    <cellStyle name="40% - Accent3 22 2 2 2" xfId="11870" xr:uid="{00000000-0005-0000-0000-0000AC200000}"/>
    <cellStyle name="40% - Accent3 22 2 3" xfId="11871" xr:uid="{00000000-0005-0000-0000-0000AD200000}"/>
    <cellStyle name="40% - Accent3 22 2 3 2" xfId="11872" xr:uid="{00000000-0005-0000-0000-0000AE200000}"/>
    <cellStyle name="40% - Accent3 22 2 4" xfId="11873" xr:uid="{00000000-0005-0000-0000-0000AF200000}"/>
    <cellStyle name="40% - Accent3 22 3" xfId="11874" xr:uid="{00000000-0005-0000-0000-0000B0200000}"/>
    <cellStyle name="40% - Accent3 22 3 2" xfId="11875" xr:uid="{00000000-0005-0000-0000-0000B1200000}"/>
    <cellStyle name="40% - Accent3 22 4" xfId="11876" xr:uid="{00000000-0005-0000-0000-0000B2200000}"/>
    <cellStyle name="40% - Accent3 22 4 2" xfId="11877" xr:uid="{00000000-0005-0000-0000-0000B3200000}"/>
    <cellStyle name="40% - Accent3 22 5" xfId="11878" xr:uid="{00000000-0005-0000-0000-0000B4200000}"/>
    <cellStyle name="40% - Accent3 23" xfId="11879" xr:uid="{00000000-0005-0000-0000-0000B5200000}"/>
    <cellStyle name="40% - Accent3 23 2" xfId="11880" xr:uid="{00000000-0005-0000-0000-0000B6200000}"/>
    <cellStyle name="40% - Accent3 24" xfId="11881" xr:uid="{00000000-0005-0000-0000-0000B7200000}"/>
    <cellStyle name="40% - Accent3 24 2" xfId="11882" xr:uid="{00000000-0005-0000-0000-0000B8200000}"/>
    <cellStyle name="40% - Accent3 24 2 2" xfId="11883" xr:uid="{00000000-0005-0000-0000-0000B9200000}"/>
    <cellStyle name="40% - Accent3 24 2 2 2" xfId="11884" xr:uid="{00000000-0005-0000-0000-0000BA200000}"/>
    <cellStyle name="40% - Accent3 24 2 3" xfId="11885" xr:uid="{00000000-0005-0000-0000-0000BB200000}"/>
    <cellStyle name="40% - Accent3 24 2 3 2" xfId="11886" xr:uid="{00000000-0005-0000-0000-0000BC200000}"/>
    <cellStyle name="40% - Accent3 24 2 4" xfId="11887" xr:uid="{00000000-0005-0000-0000-0000BD200000}"/>
    <cellStyle name="40% - Accent3 24 3" xfId="11888" xr:uid="{00000000-0005-0000-0000-0000BE200000}"/>
    <cellStyle name="40% - Accent3 24 3 2" xfId="11889" xr:uid="{00000000-0005-0000-0000-0000BF200000}"/>
    <cellStyle name="40% - Accent3 24 4" xfId="11890" xr:uid="{00000000-0005-0000-0000-0000C0200000}"/>
    <cellStyle name="40% - Accent3 24 4 2" xfId="11891" xr:uid="{00000000-0005-0000-0000-0000C1200000}"/>
    <cellStyle name="40% - Accent3 24 5" xfId="11892" xr:uid="{00000000-0005-0000-0000-0000C2200000}"/>
    <cellStyle name="40% - Accent3 25" xfId="11893" xr:uid="{00000000-0005-0000-0000-0000C3200000}"/>
    <cellStyle name="40% - Accent3 25 2" xfId="11894" xr:uid="{00000000-0005-0000-0000-0000C4200000}"/>
    <cellStyle name="40% - Accent3 25 2 2" xfId="11895" xr:uid="{00000000-0005-0000-0000-0000C5200000}"/>
    <cellStyle name="40% - Accent3 25 2 2 2" xfId="11896" xr:uid="{00000000-0005-0000-0000-0000C6200000}"/>
    <cellStyle name="40% - Accent3 25 2 3" xfId="11897" xr:uid="{00000000-0005-0000-0000-0000C7200000}"/>
    <cellStyle name="40% - Accent3 25 2 3 2" xfId="11898" xr:uid="{00000000-0005-0000-0000-0000C8200000}"/>
    <cellStyle name="40% - Accent3 25 2 4" xfId="11899" xr:uid="{00000000-0005-0000-0000-0000C9200000}"/>
    <cellStyle name="40% - Accent3 25 3" xfId="11900" xr:uid="{00000000-0005-0000-0000-0000CA200000}"/>
    <cellStyle name="40% - Accent3 25 3 2" xfId="11901" xr:uid="{00000000-0005-0000-0000-0000CB200000}"/>
    <cellStyle name="40% - Accent3 25 4" xfId="11902" xr:uid="{00000000-0005-0000-0000-0000CC200000}"/>
    <cellStyle name="40% - Accent3 25 4 2" xfId="11903" xr:uid="{00000000-0005-0000-0000-0000CD200000}"/>
    <cellStyle name="40% - Accent3 25 5" xfId="11904" xr:uid="{00000000-0005-0000-0000-0000CE200000}"/>
    <cellStyle name="40% - Accent3 26" xfId="11905" xr:uid="{00000000-0005-0000-0000-0000CF200000}"/>
    <cellStyle name="40% - Accent3 26 2" xfId="11906" xr:uid="{00000000-0005-0000-0000-0000D0200000}"/>
    <cellStyle name="40% - Accent3 27" xfId="11907" xr:uid="{00000000-0005-0000-0000-0000D1200000}"/>
    <cellStyle name="40% - Accent3 27 2" xfId="11908" xr:uid="{00000000-0005-0000-0000-0000D2200000}"/>
    <cellStyle name="40% - Accent3 27 2 2" xfId="11909" xr:uid="{00000000-0005-0000-0000-0000D3200000}"/>
    <cellStyle name="40% - Accent3 27 2 2 2" xfId="11910" xr:uid="{00000000-0005-0000-0000-0000D4200000}"/>
    <cellStyle name="40% - Accent3 27 2 3" xfId="11911" xr:uid="{00000000-0005-0000-0000-0000D5200000}"/>
    <cellStyle name="40% - Accent3 27 2 3 2" xfId="11912" xr:uid="{00000000-0005-0000-0000-0000D6200000}"/>
    <cellStyle name="40% - Accent3 27 2 4" xfId="11913" xr:uid="{00000000-0005-0000-0000-0000D7200000}"/>
    <cellStyle name="40% - Accent3 27 3" xfId="11914" xr:uid="{00000000-0005-0000-0000-0000D8200000}"/>
    <cellStyle name="40% - Accent3 27 3 2" xfId="11915" xr:uid="{00000000-0005-0000-0000-0000D9200000}"/>
    <cellStyle name="40% - Accent3 27 4" xfId="11916" xr:uid="{00000000-0005-0000-0000-0000DA200000}"/>
    <cellStyle name="40% - Accent3 27 4 2" xfId="11917" xr:uid="{00000000-0005-0000-0000-0000DB200000}"/>
    <cellStyle name="40% - Accent3 27 5" xfId="11918" xr:uid="{00000000-0005-0000-0000-0000DC200000}"/>
    <cellStyle name="40% - Accent3 28" xfId="11919" xr:uid="{00000000-0005-0000-0000-0000DD200000}"/>
    <cellStyle name="40% - Accent3 28 2" xfId="11920" xr:uid="{00000000-0005-0000-0000-0000DE200000}"/>
    <cellStyle name="40% - Accent3 28 2 2" xfId="11921" xr:uid="{00000000-0005-0000-0000-0000DF200000}"/>
    <cellStyle name="40% - Accent3 28 3" xfId="11922" xr:uid="{00000000-0005-0000-0000-0000E0200000}"/>
    <cellStyle name="40% - Accent3 28 3 2" xfId="11923" xr:uid="{00000000-0005-0000-0000-0000E1200000}"/>
    <cellStyle name="40% - Accent3 28 4" xfId="11924" xr:uid="{00000000-0005-0000-0000-0000E2200000}"/>
    <cellStyle name="40% - Accent3 29" xfId="11925" xr:uid="{00000000-0005-0000-0000-0000E3200000}"/>
    <cellStyle name="40% - Accent3 29 2" xfId="11926" xr:uid="{00000000-0005-0000-0000-0000E4200000}"/>
    <cellStyle name="40% - Accent3 3" xfId="221" xr:uid="{00000000-0005-0000-0000-0000E5200000}"/>
    <cellStyle name="40% - Accent3 3 10" xfId="3683" xr:uid="{00000000-0005-0000-0000-0000E6200000}"/>
    <cellStyle name="40% - Accent3 3 10 2" xfId="4543" xr:uid="{00000000-0005-0000-0000-0000E7200000}"/>
    <cellStyle name="40% - Accent3 3 10 2 2" xfId="11930" xr:uid="{00000000-0005-0000-0000-0000E8200000}"/>
    <cellStyle name="40% - Accent3 3 10 2 3" xfId="11929" xr:uid="{00000000-0005-0000-0000-0000E9200000}"/>
    <cellStyle name="40% - Accent3 3 10 3" xfId="11931" xr:uid="{00000000-0005-0000-0000-0000EA200000}"/>
    <cellStyle name="40% - Accent3 3 10 3 2" xfId="11932" xr:uid="{00000000-0005-0000-0000-0000EB200000}"/>
    <cellStyle name="40% - Accent3 3 10 4" xfId="11933" xr:uid="{00000000-0005-0000-0000-0000EC200000}"/>
    <cellStyle name="40% - Accent3 3 10 4 2" xfId="11934" xr:uid="{00000000-0005-0000-0000-0000ED200000}"/>
    <cellStyle name="40% - Accent3 3 10 5" xfId="11935" xr:uid="{00000000-0005-0000-0000-0000EE200000}"/>
    <cellStyle name="40% - Accent3 3 10 5 2" xfId="11936" xr:uid="{00000000-0005-0000-0000-0000EF200000}"/>
    <cellStyle name="40% - Accent3 3 10 6" xfId="11937" xr:uid="{00000000-0005-0000-0000-0000F0200000}"/>
    <cellStyle name="40% - Accent3 3 10 7" xfId="11928" xr:uid="{00000000-0005-0000-0000-0000F1200000}"/>
    <cellStyle name="40% - Accent3 3 11" xfId="11938" xr:uid="{00000000-0005-0000-0000-0000F2200000}"/>
    <cellStyle name="40% - Accent3 3 11 2" xfId="11939" xr:uid="{00000000-0005-0000-0000-0000F3200000}"/>
    <cellStyle name="40% - Accent3 3 11 2 2" xfId="11940" xr:uid="{00000000-0005-0000-0000-0000F4200000}"/>
    <cellStyle name="40% - Accent3 3 11 3" xfId="11941" xr:uid="{00000000-0005-0000-0000-0000F5200000}"/>
    <cellStyle name="40% - Accent3 3 11 3 2" xfId="11942" xr:uid="{00000000-0005-0000-0000-0000F6200000}"/>
    <cellStyle name="40% - Accent3 3 11 4" xfId="11943" xr:uid="{00000000-0005-0000-0000-0000F7200000}"/>
    <cellStyle name="40% - Accent3 3 12" xfId="11944" xr:uid="{00000000-0005-0000-0000-0000F8200000}"/>
    <cellStyle name="40% - Accent3 3 12 2" xfId="11945" xr:uid="{00000000-0005-0000-0000-0000F9200000}"/>
    <cellStyle name="40% - Accent3 3 12 2 2" xfId="11946" xr:uid="{00000000-0005-0000-0000-0000FA200000}"/>
    <cellStyle name="40% - Accent3 3 12 3" xfId="11947" xr:uid="{00000000-0005-0000-0000-0000FB200000}"/>
    <cellStyle name="40% - Accent3 3 12 3 2" xfId="11948" xr:uid="{00000000-0005-0000-0000-0000FC200000}"/>
    <cellStyle name="40% - Accent3 3 12 4" xfId="11949" xr:uid="{00000000-0005-0000-0000-0000FD200000}"/>
    <cellStyle name="40% - Accent3 3 13" xfId="11950" xr:uid="{00000000-0005-0000-0000-0000FE200000}"/>
    <cellStyle name="40% - Accent3 3 13 2" xfId="11951" xr:uid="{00000000-0005-0000-0000-0000FF200000}"/>
    <cellStyle name="40% - Accent3 3 13 2 2" xfId="11952" xr:uid="{00000000-0005-0000-0000-000000210000}"/>
    <cellStyle name="40% - Accent3 3 13 3" xfId="11953" xr:uid="{00000000-0005-0000-0000-000001210000}"/>
    <cellStyle name="40% - Accent3 3 13 3 2" xfId="11954" xr:uid="{00000000-0005-0000-0000-000002210000}"/>
    <cellStyle name="40% - Accent3 3 13 4" xfId="11955" xr:uid="{00000000-0005-0000-0000-000003210000}"/>
    <cellStyle name="40% - Accent3 3 14" xfId="11956" xr:uid="{00000000-0005-0000-0000-000004210000}"/>
    <cellStyle name="40% - Accent3 3 14 2" xfId="11957" xr:uid="{00000000-0005-0000-0000-000005210000}"/>
    <cellStyle name="40% - Accent3 3 15" xfId="11958" xr:uid="{00000000-0005-0000-0000-000006210000}"/>
    <cellStyle name="40% - Accent3 3 15 2" xfId="11959" xr:uid="{00000000-0005-0000-0000-000007210000}"/>
    <cellStyle name="40% - Accent3 3 16" xfId="11960" xr:uid="{00000000-0005-0000-0000-000008210000}"/>
    <cellStyle name="40% - Accent3 3 17" xfId="11927" xr:uid="{00000000-0005-0000-0000-000009210000}"/>
    <cellStyle name="40% - Accent3 3 2" xfId="1456" xr:uid="{00000000-0005-0000-0000-00000A210000}"/>
    <cellStyle name="40% - Accent3 3 2 10" xfId="11962" xr:uid="{00000000-0005-0000-0000-00000B210000}"/>
    <cellStyle name="40% - Accent3 3 2 10 2" xfId="11963" xr:uid="{00000000-0005-0000-0000-00000C210000}"/>
    <cellStyle name="40% - Accent3 3 2 10 2 2" xfId="11964" xr:uid="{00000000-0005-0000-0000-00000D210000}"/>
    <cellStyle name="40% - Accent3 3 2 10 3" xfId="11965" xr:uid="{00000000-0005-0000-0000-00000E210000}"/>
    <cellStyle name="40% - Accent3 3 2 10 3 2" xfId="11966" xr:uid="{00000000-0005-0000-0000-00000F210000}"/>
    <cellStyle name="40% - Accent3 3 2 10 4" xfId="11967" xr:uid="{00000000-0005-0000-0000-000010210000}"/>
    <cellStyle name="40% - Accent3 3 2 11" xfId="11968" xr:uid="{00000000-0005-0000-0000-000011210000}"/>
    <cellStyle name="40% - Accent3 3 2 11 2" xfId="11969" xr:uid="{00000000-0005-0000-0000-000012210000}"/>
    <cellStyle name="40% - Accent3 3 2 11 2 2" xfId="11970" xr:uid="{00000000-0005-0000-0000-000013210000}"/>
    <cellStyle name="40% - Accent3 3 2 11 3" xfId="11971" xr:uid="{00000000-0005-0000-0000-000014210000}"/>
    <cellStyle name="40% - Accent3 3 2 11 3 2" xfId="11972" xr:uid="{00000000-0005-0000-0000-000015210000}"/>
    <cellStyle name="40% - Accent3 3 2 11 4" xfId="11973" xr:uid="{00000000-0005-0000-0000-000016210000}"/>
    <cellStyle name="40% - Accent3 3 2 12" xfId="11974" xr:uid="{00000000-0005-0000-0000-000017210000}"/>
    <cellStyle name="40% - Accent3 3 2 12 2" xfId="11975" xr:uid="{00000000-0005-0000-0000-000018210000}"/>
    <cellStyle name="40% - Accent3 3 2 12 2 2" xfId="11976" xr:uid="{00000000-0005-0000-0000-000019210000}"/>
    <cellStyle name="40% - Accent3 3 2 12 3" xfId="11977" xr:uid="{00000000-0005-0000-0000-00001A210000}"/>
    <cellStyle name="40% - Accent3 3 2 12 3 2" xfId="11978" xr:uid="{00000000-0005-0000-0000-00001B210000}"/>
    <cellStyle name="40% - Accent3 3 2 12 4" xfId="11979" xr:uid="{00000000-0005-0000-0000-00001C210000}"/>
    <cellStyle name="40% - Accent3 3 2 13" xfId="11980" xr:uid="{00000000-0005-0000-0000-00001D210000}"/>
    <cellStyle name="40% - Accent3 3 2 13 2" xfId="11981" xr:uid="{00000000-0005-0000-0000-00001E210000}"/>
    <cellStyle name="40% - Accent3 3 2 14" xfId="11982" xr:uid="{00000000-0005-0000-0000-00001F210000}"/>
    <cellStyle name="40% - Accent3 3 2 14 2" xfId="11983" xr:uid="{00000000-0005-0000-0000-000020210000}"/>
    <cellStyle name="40% - Accent3 3 2 15" xfId="11984" xr:uid="{00000000-0005-0000-0000-000021210000}"/>
    <cellStyle name="40% - Accent3 3 2 15 2" xfId="11985" xr:uid="{00000000-0005-0000-0000-000022210000}"/>
    <cellStyle name="40% - Accent3 3 2 16" xfId="11986" xr:uid="{00000000-0005-0000-0000-000023210000}"/>
    <cellStyle name="40% - Accent3 3 2 17" xfId="11961" xr:uid="{00000000-0005-0000-0000-000024210000}"/>
    <cellStyle name="40% - Accent3 3 2 2" xfId="1832" xr:uid="{00000000-0005-0000-0000-000025210000}"/>
    <cellStyle name="40% - Accent3 3 2 2 2" xfId="11988" xr:uid="{00000000-0005-0000-0000-000026210000}"/>
    <cellStyle name="40% - Accent3 3 2 2 2 2" xfId="11989" xr:uid="{00000000-0005-0000-0000-000027210000}"/>
    <cellStyle name="40% - Accent3 3 2 2 3" xfId="11990" xr:uid="{00000000-0005-0000-0000-000028210000}"/>
    <cellStyle name="40% - Accent3 3 2 2 3 2" xfId="11991" xr:uid="{00000000-0005-0000-0000-000029210000}"/>
    <cellStyle name="40% - Accent3 3 2 2 4" xfId="11992" xr:uid="{00000000-0005-0000-0000-00002A210000}"/>
    <cellStyle name="40% - Accent3 3 2 2 5" xfId="11987" xr:uid="{00000000-0005-0000-0000-00002B210000}"/>
    <cellStyle name="40% - Accent3 3 2 3" xfId="2207" xr:uid="{00000000-0005-0000-0000-00002C210000}"/>
    <cellStyle name="40% - Accent3 3 2 3 2" xfId="11994" xr:uid="{00000000-0005-0000-0000-00002D210000}"/>
    <cellStyle name="40% - Accent3 3 2 3 2 2" xfId="11995" xr:uid="{00000000-0005-0000-0000-00002E210000}"/>
    <cellStyle name="40% - Accent3 3 2 3 3" xfId="11996" xr:uid="{00000000-0005-0000-0000-00002F210000}"/>
    <cellStyle name="40% - Accent3 3 2 3 3 2" xfId="11997" xr:uid="{00000000-0005-0000-0000-000030210000}"/>
    <cellStyle name="40% - Accent3 3 2 3 4" xfId="11998" xr:uid="{00000000-0005-0000-0000-000031210000}"/>
    <cellStyle name="40% - Accent3 3 2 3 5" xfId="11993" xr:uid="{00000000-0005-0000-0000-000032210000}"/>
    <cellStyle name="40% - Accent3 3 2 4" xfId="2581" xr:uid="{00000000-0005-0000-0000-000033210000}"/>
    <cellStyle name="40% - Accent3 3 2 4 2" xfId="12000" xr:uid="{00000000-0005-0000-0000-000034210000}"/>
    <cellStyle name="40% - Accent3 3 2 4 2 2" xfId="12001" xr:uid="{00000000-0005-0000-0000-000035210000}"/>
    <cellStyle name="40% - Accent3 3 2 4 3" xfId="12002" xr:uid="{00000000-0005-0000-0000-000036210000}"/>
    <cellStyle name="40% - Accent3 3 2 4 3 2" xfId="12003" xr:uid="{00000000-0005-0000-0000-000037210000}"/>
    <cellStyle name="40% - Accent3 3 2 4 4" xfId="12004" xr:uid="{00000000-0005-0000-0000-000038210000}"/>
    <cellStyle name="40% - Accent3 3 2 4 5" xfId="11999" xr:uid="{00000000-0005-0000-0000-000039210000}"/>
    <cellStyle name="40% - Accent3 3 2 5" xfId="2953" xr:uid="{00000000-0005-0000-0000-00003A210000}"/>
    <cellStyle name="40% - Accent3 3 2 5 2" xfId="12006" xr:uid="{00000000-0005-0000-0000-00003B210000}"/>
    <cellStyle name="40% - Accent3 3 2 5 2 2" xfId="12007" xr:uid="{00000000-0005-0000-0000-00003C210000}"/>
    <cellStyle name="40% - Accent3 3 2 5 3" xfId="12008" xr:uid="{00000000-0005-0000-0000-00003D210000}"/>
    <cellStyle name="40% - Accent3 3 2 5 3 2" xfId="12009" xr:uid="{00000000-0005-0000-0000-00003E210000}"/>
    <cellStyle name="40% - Accent3 3 2 5 4" xfId="12010" xr:uid="{00000000-0005-0000-0000-00003F210000}"/>
    <cellStyle name="40% - Accent3 3 2 5 5" xfId="12005" xr:uid="{00000000-0005-0000-0000-000040210000}"/>
    <cellStyle name="40% - Accent3 3 2 6" xfId="3325" xr:uid="{00000000-0005-0000-0000-000041210000}"/>
    <cellStyle name="40% - Accent3 3 2 6 2" xfId="12012" xr:uid="{00000000-0005-0000-0000-000042210000}"/>
    <cellStyle name="40% - Accent3 3 2 6 2 2" xfId="12013" xr:uid="{00000000-0005-0000-0000-000043210000}"/>
    <cellStyle name="40% - Accent3 3 2 6 3" xfId="12014" xr:uid="{00000000-0005-0000-0000-000044210000}"/>
    <cellStyle name="40% - Accent3 3 2 6 3 2" xfId="12015" xr:uid="{00000000-0005-0000-0000-000045210000}"/>
    <cellStyle name="40% - Accent3 3 2 6 4" xfId="12016" xr:uid="{00000000-0005-0000-0000-000046210000}"/>
    <cellStyle name="40% - Accent3 3 2 6 5" xfId="12011" xr:uid="{00000000-0005-0000-0000-000047210000}"/>
    <cellStyle name="40% - Accent3 3 2 7" xfId="4544" xr:uid="{00000000-0005-0000-0000-000048210000}"/>
    <cellStyle name="40% - Accent3 3 2 7 2" xfId="12018" xr:uid="{00000000-0005-0000-0000-000049210000}"/>
    <cellStyle name="40% - Accent3 3 2 7 2 2" xfId="12019" xr:uid="{00000000-0005-0000-0000-00004A210000}"/>
    <cellStyle name="40% - Accent3 3 2 7 3" xfId="12020" xr:uid="{00000000-0005-0000-0000-00004B210000}"/>
    <cellStyle name="40% - Accent3 3 2 7 3 2" xfId="12021" xr:uid="{00000000-0005-0000-0000-00004C210000}"/>
    <cellStyle name="40% - Accent3 3 2 7 4" xfId="12022" xr:uid="{00000000-0005-0000-0000-00004D210000}"/>
    <cellStyle name="40% - Accent3 3 2 7 5" xfId="12017" xr:uid="{00000000-0005-0000-0000-00004E210000}"/>
    <cellStyle name="40% - Accent3 3 2 8" xfId="12023" xr:uid="{00000000-0005-0000-0000-00004F210000}"/>
    <cellStyle name="40% - Accent3 3 2 8 2" xfId="12024" xr:uid="{00000000-0005-0000-0000-000050210000}"/>
    <cellStyle name="40% - Accent3 3 2 8 2 2" xfId="12025" xr:uid="{00000000-0005-0000-0000-000051210000}"/>
    <cellStyle name="40% - Accent3 3 2 8 3" xfId="12026" xr:uid="{00000000-0005-0000-0000-000052210000}"/>
    <cellStyle name="40% - Accent3 3 2 8 3 2" xfId="12027" xr:uid="{00000000-0005-0000-0000-000053210000}"/>
    <cellStyle name="40% - Accent3 3 2 8 4" xfId="12028" xr:uid="{00000000-0005-0000-0000-000054210000}"/>
    <cellStyle name="40% - Accent3 3 2 9" xfId="12029" xr:uid="{00000000-0005-0000-0000-000055210000}"/>
    <cellStyle name="40% - Accent3 3 2 9 2" xfId="12030" xr:uid="{00000000-0005-0000-0000-000056210000}"/>
    <cellStyle name="40% - Accent3 3 2 9 2 2" xfId="12031" xr:uid="{00000000-0005-0000-0000-000057210000}"/>
    <cellStyle name="40% - Accent3 3 2 9 3" xfId="12032" xr:uid="{00000000-0005-0000-0000-000058210000}"/>
    <cellStyle name="40% - Accent3 3 2 9 3 2" xfId="12033" xr:uid="{00000000-0005-0000-0000-000059210000}"/>
    <cellStyle name="40% - Accent3 3 2 9 4" xfId="12034" xr:uid="{00000000-0005-0000-0000-00005A210000}"/>
    <cellStyle name="40% - Accent3 3 3" xfId="1583" xr:uid="{00000000-0005-0000-0000-00005B210000}"/>
    <cellStyle name="40% - Accent3 3 3 2" xfId="1909" xr:uid="{00000000-0005-0000-0000-00005C210000}"/>
    <cellStyle name="40% - Accent3 3 3 2 2" xfId="12037" xr:uid="{00000000-0005-0000-0000-00005D210000}"/>
    <cellStyle name="40% - Accent3 3 3 2 3" xfId="12036" xr:uid="{00000000-0005-0000-0000-00005E210000}"/>
    <cellStyle name="40% - Accent3 3 3 3" xfId="2284" xr:uid="{00000000-0005-0000-0000-00005F210000}"/>
    <cellStyle name="40% - Accent3 3 3 3 2" xfId="12039" xr:uid="{00000000-0005-0000-0000-000060210000}"/>
    <cellStyle name="40% - Accent3 3 3 3 3" xfId="12038" xr:uid="{00000000-0005-0000-0000-000061210000}"/>
    <cellStyle name="40% - Accent3 3 3 4" xfId="2657" xr:uid="{00000000-0005-0000-0000-000062210000}"/>
    <cellStyle name="40% - Accent3 3 3 4 2" xfId="12041" xr:uid="{00000000-0005-0000-0000-000063210000}"/>
    <cellStyle name="40% - Accent3 3 3 4 3" xfId="12040" xr:uid="{00000000-0005-0000-0000-000064210000}"/>
    <cellStyle name="40% - Accent3 3 3 5" xfId="3030" xr:uid="{00000000-0005-0000-0000-000065210000}"/>
    <cellStyle name="40% - Accent3 3 3 5 2" xfId="12043" xr:uid="{00000000-0005-0000-0000-000066210000}"/>
    <cellStyle name="40% - Accent3 3 3 5 3" xfId="12042" xr:uid="{00000000-0005-0000-0000-000067210000}"/>
    <cellStyle name="40% - Accent3 3 3 6" xfId="3401" xr:uid="{00000000-0005-0000-0000-000068210000}"/>
    <cellStyle name="40% - Accent3 3 3 6 2" xfId="12045" xr:uid="{00000000-0005-0000-0000-000069210000}"/>
    <cellStyle name="40% - Accent3 3 3 6 3" xfId="12044" xr:uid="{00000000-0005-0000-0000-00006A210000}"/>
    <cellStyle name="40% - Accent3 3 3 7" xfId="4545" xr:uid="{00000000-0005-0000-0000-00006B210000}"/>
    <cellStyle name="40% - Accent3 3 3 7 2" xfId="12047" xr:uid="{00000000-0005-0000-0000-00006C210000}"/>
    <cellStyle name="40% - Accent3 3 3 7 3" xfId="12046" xr:uid="{00000000-0005-0000-0000-00006D210000}"/>
    <cellStyle name="40% - Accent3 3 3 8" xfId="12048" xr:uid="{00000000-0005-0000-0000-00006E210000}"/>
    <cellStyle name="40% - Accent3 3 3 9" xfId="12035" xr:uid="{00000000-0005-0000-0000-00006F210000}"/>
    <cellStyle name="40% - Accent3 3 4" xfId="1720" xr:uid="{00000000-0005-0000-0000-000070210000}"/>
    <cellStyle name="40% - Accent3 3 4 2" xfId="1953" xr:uid="{00000000-0005-0000-0000-000071210000}"/>
    <cellStyle name="40% - Accent3 3 4 2 2" xfId="12051" xr:uid="{00000000-0005-0000-0000-000072210000}"/>
    <cellStyle name="40% - Accent3 3 4 2 3" xfId="12050" xr:uid="{00000000-0005-0000-0000-000073210000}"/>
    <cellStyle name="40% - Accent3 3 4 3" xfId="2328" xr:uid="{00000000-0005-0000-0000-000074210000}"/>
    <cellStyle name="40% - Accent3 3 4 3 2" xfId="12053" xr:uid="{00000000-0005-0000-0000-000075210000}"/>
    <cellStyle name="40% - Accent3 3 4 3 3" xfId="12052" xr:uid="{00000000-0005-0000-0000-000076210000}"/>
    <cellStyle name="40% - Accent3 3 4 4" xfId="2701" xr:uid="{00000000-0005-0000-0000-000077210000}"/>
    <cellStyle name="40% - Accent3 3 4 4 2" xfId="12055" xr:uid="{00000000-0005-0000-0000-000078210000}"/>
    <cellStyle name="40% - Accent3 3 4 4 3" xfId="12054" xr:uid="{00000000-0005-0000-0000-000079210000}"/>
    <cellStyle name="40% - Accent3 3 4 5" xfId="3074" xr:uid="{00000000-0005-0000-0000-00007A210000}"/>
    <cellStyle name="40% - Accent3 3 4 5 2" xfId="12057" xr:uid="{00000000-0005-0000-0000-00007B210000}"/>
    <cellStyle name="40% - Accent3 3 4 5 3" xfId="12056" xr:uid="{00000000-0005-0000-0000-00007C210000}"/>
    <cellStyle name="40% - Accent3 3 4 6" xfId="3445" xr:uid="{00000000-0005-0000-0000-00007D210000}"/>
    <cellStyle name="40% - Accent3 3 4 6 2" xfId="12059" xr:uid="{00000000-0005-0000-0000-00007E210000}"/>
    <cellStyle name="40% - Accent3 3 4 6 3" xfId="12058" xr:uid="{00000000-0005-0000-0000-00007F210000}"/>
    <cellStyle name="40% - Accent3 3 4 7" xfId="12060" xr:uid="{00000000-0005-0000-0000-000080210000}"/>
    <cellStyle name="40% - Accent3 3 4 8" xfId="12049" xr:uid="{00000000-0005-0000-0000-000081210000}"/>
    <cellStyle name="40% - Accent3 3 5" xfId="2055" xr:uid="{00000000-0005-0000-0000-000082210000}"/>
    <cellStyle name="40% - Accent3 3 5 2" xfId="12062" xr:uid="{00000000-0005-0000-0000-000083210000}"/>
    <cellStyle name="40% - Accent3 3 5 2 2" xfId="12063" xr:uid="{00000000-0005-0000-0000-000084210000}"/>
    <cellStyle name="40% - Accent3 3 5 3" xfId="12064" xr:uid="{00000000-0005-0000-0000-000085210000}"/>
    <cellStyle name="40% - Accent3 3 5 3 2" xfId="12065" xr:uid="{00000000-0005-0000-0000-000086210000}"/>
    <cellStyle name="40% - Accent3 3 5 4" xfId="12066" xr:uid="{00000000-0005-0000-0000-000087210000}"/>
    <cellStyle name="40% - Accent3 3 5 4 2" xfId="12067" xr:uid="{00000000-0005-0000-0000-000088210000}"/>
    <cellStyle name="40% - Accent3 3 5 5" xfId="12068" xr:uid="{00000000-0005-0000-0000-000089210000}"/>
    <cellStyle name="40% - Accent3 3 5 6" xfId="12061" xr:uid="{00000000-0005-0000-0000-00008A210000}"/>
    <cellStyle name="40% - Accent3 3 6" xfId="2429" xr:uid="{00000000-0005-0000-0000-00008B210000}"/>
    <cellStyle name="40% - Accent3 3 6 2" xfId="12070" xr:uid="{00000000-0005-0000-0000-00008C210000}"/>
    <cellStyle name="40% - Accent3 3 6 2 2" xfId="12071" xr:uid="{00000000-0005-0000-0000-00008D210000}"/>
    <cellStyle name="40% - Accent3 3 6 3" xfId="12072" xr:uid="{00000000-0005-0000-0000-00008E210000}"/>
    <cellStyle name="40% - Accent3 3 6 3 2" xfId="12073" xr:uid="{00000000-0005-0000-0000-00008F210000}"/>
    <cellStyle name="40% - Accent3 3 6 4" xfId="12074" xr:uid="{00000000-0005-0000-0000-000090210000}"/>
    <cellStyle name="40% - Accent3 3 6 4 2" xfId="12075" xr:uid="{00000000-0005-0000-0000-000091210000}"/>
    <cellStyle name="40% - Accent3 3 6 5" xfId="12076" xr:uid="{00000000-0005-0000-0000-000092210000}"/>
    <cellStyle name="40% - Accent3 3 6 6" xfId="12069" xr:uid="{00000000-0005-0000-0000-000093210000}"/>
    <cellStyle name="40% - Accent3 3 7" xfId="2801" xr:uid="{00000000-0005-0000-0000-000094210000}"/>
    <cellStyle name="40% - Accent3 3 7 2" xfId="12078" xr:uid="{00000000-0005-0000-0000-000095210000}"/>
    <cellStyle name="40% - Accent3 3 7 2 2" xfId="12079" xr:uid="{00000000-0005-0000-0000-000096210000}"/>
    <cellStyle name="40% - Accent3 3 7 3" xfId="12080" xr:uid="{00000000-0005-0000-0000-000097210000}"/>
    <cellStyle name="40% - Accent3 3 7 3 2" xfId="12081" xr:uid="{00000000-0005-0000-0000-000098210000}"/>
    <cellStyle name="40% - Accent3 3 7 4" xfId="12082" xr:uid="{00000000-0005-0000-0000-000099210000}"/>
    <cellStyle name="40% - Accent3 3 7 4 2" xfId="12083" xr:uid="{00000000-0005-0000-0000-00009A210000}"/>
    <cellStyle name="40% - Accent3 3 7 5" xfId="12084" xr:uid="{00000000-0005-0000-0000-00009B210000}"/>
    <cellStyle name="40% - Accent3 3 7 6" xfId="12077" xr:uid="{00000000-0005-0000-0000-00009C210000}"/>
    <cellStyle name="40% - Accent3 3 8" xfId="3172" xr:uid="{00000000-0005-0000-0000-00009D210000}"/>
    <cellStyle name="40% - Accent3 3 8 2" xfId="12086" xr:uid="{00000000-0005-0000-0000-00009E210000}"/>
    <cellStyle name="40% - Accent3 3 8 2 2" xfId="12087" xr:uid="{00000000-0005-0000-0000-00009F210000}"/>
    <cellStyle name="40% - Accent3 3 8 3" xfId="12088" xr:uid="{00000000-0005-0000-0000-0000A0210000}"/>
    <cellStyle name="40% - Accent3 3 8 3 2" xfId="12089" xr:uid="{00000000-0005-0000-0000-0000A1210000}"/>
    <cellStyle name="40% - Accent3 3 8 4" xfId="12090" xr:uid="{00000000-0005-0000-0000-0000A2210000}"/>
    <cellStyle name="40% - Accent3 3 8 4 2" xfId="12091" xr:uid="{00000000-0005-0000-0000-0000A3210000}"/>
    <cellStyle name="40% - Accent3 3 8 5" xfId="12092" xr:uid="{00000000-0005-0000-0000-0000A4210000}"/>
    <cellStyle name="40% - Accent3 3 8 6" xfId="12085" xr:uid="{00000000-0005-0000-0000-0000A5210000}"/>
    <cellStyle name="40% - Accent3 3 9" xfId="3547" xr:uid="{00000000-0005-0000-0000-0000A6210000}"/>
    <cellStyle name="40% - Accent3 3 9 2" xfId="4546" xr:uid="{00000000-0005-0000-0000-0000A7210000}"/>
    <cellStyle name="40% - Accent3 3 9 2 2" xfId="12095" xr:uid="{00000000-0005-0000-0000-0000A8210000}"/>
    <cellStyle name="40% - Accent3 3 9 2 3" xfId="12094" xr:uid="{00000000-0005-0000-0000-0000A9210000}"/>
    <cellStyle name="40% - Accent3 3 9 3" xfId="12096" xr:uid="{00000000-0005-0000-0000-0000AA210000}"/>
    <cellStyle name="40% - Accent3 3 9 3 2" xfId="12097" xr:uid="{00000000-0005-0000-0000-0000AB210000}"/>
    <cellStyle name="40% - Accent3 3 9 4" xfId="12098" xr:uid="{00000000-0005-0000-0000-0000AC210000}"/>
    <cellStyle name="40% - Accent3 3 9 4 2" xfId="12099" xr:uid="{00000000-0005-0000-0000-0000AD210000}"/>
    <cellStyle name="40% - Accent3 3 9 5" xfId="12100" xr:uid="{00000000-0005-0000-0000-0000AE210000}"/>
    <cellStyle name="40% - Accent3 3 9 5 2" xfId="12101" xr:uid="{00000000-0005-0000-0000-0000AF210000}"/>
    <cellStyle name="40% - Accent3 3 9 6" xfId="12102" xr:uid="{00000000-0005-0000-0000-0000B0210000}"/>
    <cellStyle name="40% - Accent3 3 9 7" xfId="12093" xr:uid="{00000000-0005-0000-0000-0000B1210000}"/>
    <cellStyle name="40% - Accent3 30" xfId="12103" xr:uid="{00000000-0005-0000-0000-0000B2210000}"/>
    <cellStyle name="40% - Accent3 31" xfId="11586" xr:uid="{00000000-0005-0000-0000-0000B3210000}"/>
    <cellStyle name="40% - Accent3 4" xfId="243" xr:uid="{00000000-0005-0000-0000-0000B4210000}"/>
    <cellStyle name="40% - Accent3 4 10" xfId="3727" xr:uid="{00000000-0005-0000-0000-0000B5210000}"/>
    <cellStyle name="40% - Accent3 4 10 2" xfId="4548" xr:uid="{00000000-0005-0000-0000-0000B6210000}"/>
    <cellStyle name="40% - Accent3 4 10 2 2" xfId="12107" xr:uid="{00000000-0005-0000-0000-0000B7210000}"/>
    <cellStyle name="40% - Accent3 4 10 2 3" xfId="12106" xr:uid="{00000000-0005-0000-0000-0000B8210000}"/>
    <cellStyle name="40% - Accent3 4 10 3" xfId="12108" xr:uid="{00000000-0005-0000-0000-0000B9210000}"/>
    <cellStyle name="40% - Accent3 4 10 3 2" xfId="12109" xr:uid="{00000000-0005-0000-0000-0000BA210000}"/>
    <cellStyle name="40% - Accent3 4 10 4" xfId="12110" xr:uid="{00000000-0005-0000-0000-0000BB210000}"/>
    <cellStyle name="40% - Accent3 4 10 4 2" xfId="12111" xr:uid="{00000000-0005-0000-0000-0000BC210000}"/>
    <cellStyle name="40% - Accent3 4 10 5" xfId="12112" xr:uid="{00000000-0005-0000-0000-0000BD210000}"/>
    <cellStyle name="40% - Accent3 4 10 5 2" xfId="12113" xr:uid="{00000000-0005-0000-0000-0000BE210000}"/>
    <cellStyle name="40% - Accent3 4 10 6" xfId="12114" xr:uid="{00000000-0005-0000-0000-0000BF210000}"/>
    <cellStyle name="40% - Accent3 4 10 7" xfId="12105" xr:uid="{00000000-0005-0000-0000-0000C0210000}"/>
    <cellStyle name="40% - Accent3 4 11" xfId="1303" xr:uid="{00000000-0005-0000-0000-0000C1210000}"/>
    <cellStyle name="40% - Accent3 4 11 10" xfId="24881" xr:uid="{00000000-0005-0000-0000-0000C2210000}"/>
    <cellStyle name="40% - Accent3 4 11 11" xfId="26377" xr:uid="{00000000-0005-0000-0000-0000C3210000}"/>
    <cellStyle name="40% - Accent3 4 11 2" xfId="4149" xr:uid="{00000000-0005-0000-0000-0000C4210000}"/>
    <cellStyle name="40% - Accent3 4 11 2 2" xfId="5402" xr:uid="{00000000-0005-0000-0000-0000C5210000}"/>
    <cellStyle name="40% - Accent3 4 11 2 2 2" xfId="6312" xr:uid="{00000000-0005-0000-0000-0000C6210000}"/>
    <cellStyle name="40% - Accent3 4 11 2 2 2 2" xfId="12118" xr:uid="{00000000-0005-0000-0000-0000C7210000}"/>
    <cellStyle name="40% - Accent3 4 11 2 2 2 3" xfId="26380" xr:uid="{00000000-0005-0000-0000-0000C8210000}"/>
    <cellStyle name="40% - Accent3 4 11 2 2 3" xfId="12117" xr:uid="{00000000-0005-0000-0000-0000C9210000}"/>
    <cellStyle name="40% - Accent3 4 11 2 2 4" xfId="26379" xr:uid="{00000000-0005-0000-0000-0000CA210000}"/>
    <cellStyle name="40% - Accent3 4 11 2 3" xfId="5712" xr:uid="{00000000-0005-0000-0000-0000CB210000}"/>
    <cellStyle name="40% - Accent3 4 11 2 3 2" xfId="6313" xr:uid="{00000000-0005-0000-0000-0000CC210000}"/>
    <cellStyle name="40% - Accent3 4 11 2 3 2 2" xfId="26382" xr:uid="{00000000-0005-0000-0000-0000CD210000}"/>
    <cellStyle name="40% - Accent3 4 11 2 3 3" xfId="12119" xr:uid="{00000000-0005-0000-0000-0000CE210000}"/>
    <cellStyle name="40% - Accent3 4 11 2 3 4" xfId="26381" xr:uid="{00000000-0005-0000-0000-0000CF210000}"/>
    <cellStyle name="40% - Accent3 4 11 2 4" xfId="4550" xr:uid="{00000000-0005-0000-0000-0000D0210000}"/>
    <cellStyle name="40% - Accent3 4 11 2 4 2" xfId="6314" xr:uid="{00000000-0005-0000-0000-0000D1210000}"/>
    <cellStyle name="40% - Accent3 4 11 2 4 2 2" xfId="26384" xr:uid="{00000000-0005-0000-0000-0000D2210000}"/>
    <cellStyle name="40% - Accent3 4 11 2 4 3" xfId="26383" xr:uid="{00000000-0005-0000-0000-0000D3210000}"/>
    <cellStyle name="40% - Accent3 4 11 2 5" xfId="6311" xr:uid="{00000000-0005-0000-0000-0000D4210000}"/>
    <cellStyle name="40% - Accent3 4 11 2 5 2" xfId="26385" xr:uid="{00000000-0005-0000-0000-0000D5210000}"/>
    <cellStyle name="40% - Accent3 4 11 2 6" xfId="12116" xr:uid="{00000000-0005-0000-0000-0000D6210000}"/>
    <cellStyle name="40% - Accent3 4 11 2 7" xfId="25001" xr:uid="{00000000-0005-0000-0000-0000D7210000}"/>
    <cellStyle name="40% - Accent3 4 11 2 8" xfId="26378" xr:uid="{00000000-0005-0000-0000-0000D8210000}"/>
    <cellStyle name="40% - Accent3 4 11 3" xfId="5401" xr:uid="{00000000-0005-0000-0000-0000D9210000}"/>
    <cellStyle name="40% - Accent3 4 11 3 2" xfId="6315" xr:uid="{00000000-0005-0000-0000-0000DA210000}"/>
    <cellStyle name="40% - Accent3 4 11 3 2 2" xfId="12121" xr:uid="{00000000-0005-0000-0000-0000DB210000}"/>
    <cellStyle name="40% - Accent3 4 11 3 2 3" xfId="26387" xr:uid="{00000000-0005-0000-0000-0000DC210000}"/>
    <cellStyle name="40% - Accent3 4 11 3 3" xfId="12120" xr:uid="{00000000-0005-0000-0000-0000DD210000}"/>
    <cellStyle name="40% - Accent3 4 11 3 4" xfId="26386" xr:uid="{00000000-0005-0000-0000-0000DE210000}"/>
    <cellStyle name="40% - Accent3 4 11 4" xfId="5711" xr:uid="{00000000-0005-0000-0000-0000DF210000}"/>
    <cellStyle name="40% - Accent3 4 11 4 2" xfId="6316" xr:uid="{00000000-0005-0000-0000-0000E0210000}"/>
    <cellStyle name="40% - Accent3 4 11 4 2 2" xfId="12123" xr:uid="{00000000-0005-0000-0000-0000E1210000}"/>
    <cellStyle name="40% - Accent3 4 11 4 2 3" xfId="26389" xr:uid="{00000000-0005-0000-0000-0000E2210000}"/>
    <cellStyle name="40% - Accent3 4 11 4 3" xfId="12122" xr:uid="{00000000-0005-0000-0000-0000E3210000}"/>
    <cellStyle name="40% - Accent3 4 11 4 4" xfId="26388" xr:uid="{00000000-0005-0000-0000-0000E4210000}"/>
    <cellStyle name="40% - Accent3 4 11 5" xfId="4549" xr:uid="{00000000-0005-0000-0000-0000E5210000}"/>
    <cellStyle name="40% - Accent3 4 11 5 2" xfId="6317" xr:uid="{00000000-0005-0000-0000-0000E6210000}"/>
    <cellStyle name="40% - Accent3 4 11 5 2 2" xfId="12126" xr:uid="{00000000-0005-0000-0000-0000E7210000}"/>
    <cellStyle name="40% - Accent3 4 11 5 2 3" xfId="12125" xr:uid="{00000000-0005-0000-0000-0000E8210000}"/>
    <cellStyle name="40% - Accent3 4 11 5 2 4" xfId="26391" xr:uid="{00000000-0005-0000-0000-0000E9210000}"/>
    <cellStyle name="40% - Accent3 4 11 5 3" xfId="12127" xr:uid="{00000000-0005-0000-0000-0000EA210000}"/>
    <cellStyle name="40% - Accent3 4 11 5 3 2" xfId="12128" xr:uid="{00000000-0005-0000-0000-0000EB210000}"/>
    <cellStyle name="40% - Accent3 4 11 5 4" xfId="12129" xr:uid="{00000000-0005-0000-0000-0000EC210000}"/>
    <cellStyle name="40% - Accent3 4 11 5 5" xfId="12124" xr:uid="{00000000-0005-0000-0000-0000ED210000}"/>
    <cellStyle name="40% - Accent3 4 11 5 6" xfId="26390" xr:uid="{00000000-0005-0000-0000-0000EE210000}"/>
    <cellStyle name="40% - Accent3 4 11 6" xfId="6310" xr:uid="{00000000-0005-0000-0000-0000EF210000}"/>
    <cellStyle name="40% - Accent3 4 11 6 2" xfId="12131" xr:uid="{00000000-0005-0000-0000-0000F0210000}"/>
    <cellStyle name="40% - Accent3 4 11 6 3" xfId="12130" xr:uid="{00000000-0005-0000-0000-0000F1210000}"/>
    <cellStyle name="40% - Accent3 4 11 6 4" xfId="26392" xr:uid="{00000000-0005-0000-0000-0000F2210000}"/>
    <cellStyle name="40% - Accent3 4 11 7" xfId="12132" xr:uid="{00000000-0005-0000-0000-0000F3210000}"/>
    <cellStyle name="40% - Accent3 4 11 7 2" xfId="12133" xr:uid="{00000000-0005-0000-0000-0000F4210000}"/>
    <cellStyle name="40% - Accent3 4 11 8" xfId="12134" xr:uid="{00000000-0005-0000-0000-0000F5210000}"/>
    <cellStyle name="40% - Accent3 4 11 9" xfId="12115" xr:uid="{00000000-0005-0000-0000-0000F6210000}"/>
    <cellStyle name="40% - Accent3 4 12" xfId="4551" xr:uid="{00000000-0005-0000-0000-0000F7210000}"/>
    <cellStyle name="40% - Accent3 4 12 2" xfId="5403" xr:uid="{00000000-0005-0000-0000-0000F8210000}"/>
    <cellStyle name="40% - Accent3 4 12 2 2" xfId="6319" xr:uid="{00000000-0005-0000-0000-0000F9210000}"/>
    <cellStyle name="40% - Accent3 4 12 2 2 2" xfId="12137" xr:uid="{00000000-0005-0000-0000-0000FA210000}"/>
    <cellStyle name="40% - Accent3 4 12 2 2 3" xfId="26395" xr:uid="{00000000-0005-0000-0000-0000FB210000}"/>
    <cellStyle name="40% - Accent3 4 12 2 3" xfId="12136" xr:uid="{00000000-0005-0000-0000-0000FC210000}"/>
    <cellStyle name="40% - Accent3 4 12 2 4" xfId="26394" xr:uid="{00000000-0005-0000-0000-0000FD210000}"/>
    <cellStyle name="40% - Accent3 4 12 3" xfId="5713" xr:uid="{00000000-0005-0000-0000-0000FE210000}"/>
    <cellStyle name="40% - Accent3 4 12 3 2" xfId="6320" xr:uid="{00000000-0005-0000-0000-0000FF210000}"/>
    <cellStyle name="40% - Accent3 4 12 3 2 2" xfId="12139" xr:uid="{00000000-0005-0000-0000-000000220000}"/>
    <cellStyle name="40% - Accent3 4 12 3 2 3" xfId="26397" xr:uid="{00000000-0005-0000-0000-000001220000}"/>
    <cellStyle name="40% - Accent3 4 12 3 3" xfId="12138" xr:uid="{00000000-0005-0000-0000-000002220000}"/>
    <cellStyle name="40% - Accent3 4 12 3 4" xfId="26396" xr:uid="{00000000-0005-0000-0000-000003220000}"/>
    <cellStyle name="40% - Accent3 4 12 4" xfId="6318" xr:uid="{00000000-0005-0000-0000-000004220000}"/>
    <cellStyle name="40% - Accent3 4 12 4 2" xfId="12141" xr:uid="{00000000-0005-0000-0000-000005220000}"/>
    <cellStyle name="40% - Accent3 4 12 4 3" xfId="12140" xr:uid="{00000000-0005-0000-0000-000006220000}"/>
    <cellStyle name="40% - Accent3 4 12 4 4" xfId="26398" xr:uid="{00000000-0005-0000-0000-000007220000}"/>
    <cellStyle name="40% - Accent3 4 12 5" xfId="12142" xr:uid="{00000000-0005-0000-0000-000008220000}"/>
    <cellStyle name="40% - Accent3 4 12 6" xfId="12135" xr:uid="{00000000-0005-0000-0000-000009220000}"/>
    <cellStyle name="40% - Accent3 4 12 7" xfId="26393" xr:uid="{00000000-0005-0000-0000-00000A220000}"/>
    <cellStyle name="40% - Accent3 4 13" xfId="5400" xr:uid="{00000000-0005-0000-0000-00000B220000}"/>
    <cellStyle name="40% - Accent3 4 13 2" xfId="6321" xr:uid="{00000000-0005-0000-0000-00000C220000}"/>
    <cellStyle name="40% - Accent3 4 13 2 2" xfId="12145" xr:uid="{00000000-0005-0000-0000-00000D220000}"/>
    <cellStyle name="40% - Accent3 4 13 2 3" xfId="12144" xr:uid="{00000000-0005-0000-0000-00000E220000}"/>
    <cellStyle name="40% - Accent3 4 13 2 4" xfId="26400" xr:uid="{00000000-0005-0000-0000-00000F220000}"/>
    <cellStyle name="40% - Accent3 4 13 3" xfId="12146" xr:uid="{00000000-0005-0000-0000-000010220000}"/>
    <cellStyle name="40% - Accent3 4 13 3 2" xfId="12147" xr:uid="{00000000-0005-0000-0000-000011220000}"/>
    <cellStyle name="40% - Accent3 4 13 4" xfId="12148" xr:uid="{00000000-0005-0000-0000-000012220000}"/>
    <cellStyle name="40% - Accent3 4 13 5" xfId="12143" xr:uid="{00000000-0005-0000-0000-000013220000}"/>
    <cellStyle name="40% - Accent3 4 13 6" xfId="26399" xr:uid="{00000000-0005-0000-0000-000014220000}"/>
    <cellStyle name="40% - Accent3 4 14" xfId="5710" xr:uid="{00000000-0005-0000-0000-000015220000}"/>
    <cellStyle name="40% - Accent3 4 14 2" xfId="6322" xr:uid="{00000000-0005-0000-0000-000016220000}"/>
    <cellStyle name="40% - Accent3 4 14 2 2" xfId="12150" xr:uid="{00000000-0005-0000-0000-000017220000}"/>
    <cellStyle name="40% - Accent3 4 14 2 3" xfId="26402" xr:uid="{00000000-0005-0000-0000-000018220000}"/>
    <cellStyle name="40% - Accent3 4 14 3" xfId="12149" xr:uid="{00000000-0005-0000-0000-000019220000}"/>
    <cellStyle name="40% - Accent3 4 14 4" xfId="26401" xr:uid="{00000000-0005-0000-0000-00001A220000}"/>
    <cellStyle name="40% - Accent3 4 15" xfId="4547" xr:uid="{00000000-0005-0000-0000-00001B220000}"/>
    <cellStyle name="40% - Accent3 4 15 2" xfId="6323" xr:uid="{00000000-0005-0000-0000-00001C220000}"/>
    <cellStyle name="40% - Accent3 4 15 2 2" xfId="12152" xr:uid="{00000000-0005-0000-0000-00001D220000}"/>
    <cellStyle name="40% - Accent3 4 15 2 3" xfId="26404" xr:uid="{00000000-0005-0000-0000-00001E220000}"/>
    <cellStyle name="40% - Accent3 4 15 3" xfId="12151" xr:uid="{00000000-0005-0000-0000-00001F220000}"/>
    <cellStyle name="40% - Accent3 4 15 4" xfId="26403" xr:uid="{00000000-0005-0000-0000-000020220000}"/>
    <cellStyle name="40% - Accent3 4 16" xfId="12153" xr:uid="{00000000-0005-0000-0000-000021220000}"/>
    <cellStyle name="40% - Accent3 4 16 2" xfId="12154" xr:uid="{00000000-0005-0000-0000-000022220000}"/>
    <cellStyle name="40% - Accent3 4 17" xfId="12155" xr:uid="{00000000-0005-0000-0000-000023220000}"/>
    <cellStyle name="40% - Accent3 4 17 2" xfId="12156" xr:uid="{00000000-0005-0000-0000-000024220000}"/>
    <cellStyle name="40% - Accent3 4 17 2 2" xfId="12157" xr:uid="{00000000-0005-0000-0000-000025220000}"/>
    <cellStyle name="40% - Accent3 4 17 3" xfId="12158" xr:uid="{00000000-0005-0000-0000-000026220000}"/>
    <cellStyle name="40% - Accent3 4 17 3 2" xfId="12159" xr:uid="{00000000-0005-0000-0000-000027220000}"/>
    <cellStyle name="40% - Accent3 4 17 4" xfId="12160" xr:uid="{00000000-0005-0000-0000-000028220000}"/>
    <cellStyle name="40% - Accent3 4 18" xfId="12161" xr:uid="{00000000-0005-0000-0000-000029220000}"/>
    <cellStyle name="40% - Accent3 4 18 2" xfId="12162" xr:uid="{00000000-0005-0000-0000-00002A220000}"/>
    <cellStyle name="40% - Accent3 4 19" xfId="12163" xr:uid="{00000000-0005-0000-0000-00002B220000}"/>
    <cellStyle name="40% - Accent3 4 19 2" xfId="12164" xr:uid="{00000000-0005-0000-0000-00002C220000}"/>
    <cellStyle name="40% - Accent3 4 2" xfId="1501" xr:uid="{00000000-0005-0000-0000-00002D220000}"/>
    <cellStyle name="40% - Accent3 4 2 10" xfId="12166" xr:uid="{00000000-0005-0000-0000-00002E220000}"/>
    <cellStyle name="40% - Accent3 4 2 10 2" xfId="12167" xr:uid="{00000000-0005-0000-0000-00002F220000}"/>
    <cellStyle name="40% - Accent3 4 2 10 2 2" xfId="12168" xr:uid="{00000000-0005-0000-0000-000030220000}"/>
    <cellStyle name="40% - Accent3 4 2 10 3" xfId="12169" xr:uid="{00000000-0005-0000-0000-000031220000}"/>
    <cellStyle name="40% - Accent3 4 2 10 3 2" xfId="12170" xr:uid="{00000000-0005-0000-0000-000032220000}"/>
    <cellStyle name="40% - Accent3 4 2 10 4" xfId="12171" xr:uid="{00000000-0005-0000-0000-000033220000}"/>
    <cellStyle name="40% - Accent3 4 2 11" xfId="12172" xr:uid="{00000000-0005-0000-0000-000034220000}"/>
    <cellStyle name="40% - Accent3 4 2 11 2" xfId="12173" xr:uid="{00000000-0005-0000-0000-000035220000}"/>
    <cellStyle name="40% - Accent3 4 2 11 2 2" xfId="12174" xr:uid="{00000000-0005-0000-0000-000036220000}"/>
    <cellStyle name="40% - Accent3 4 2 11 3" xfId="12175" xr:uid="{00000000-0005-0000-0000-000037220000}"/>
    <cellStyle name="40% - Accent3 4 2 11 3 2" xfId="12176" xr:uid="{00000000-0005-0000-0000-000038220000}"/>
    <cellStyle name="40% - Accent3 4 2 11 4" xfId="12177" xr:uid="{00000000-0005-0000-0000-000039220000}"/>
    <cellStyle name="40% - Accent3 4 2 12" xfId="12178" xr:uid="{00000000-0005-0000-0000-00003A220000}"/>
    <cellStyle name="40% - Accent3 4 2 12 2" xfId="12179" xr:uid="{00000000-0005-0000-0000-00003B220000}"/>
    <cellStyle name="40% - Accent3 4 2 12 2 2" xfId="12180" xr:uid="{00000000-0005-0000-0000-00003C220000}"/>
    <cellStyle name="40% - Accent3 4 2 12 3" xfId="12181" xr:uid="{00000000-0005-0000-0000-00003D220000}"/>
    <cellStyle name="40% - Accent3 4 2 12 3 2" xfId="12182" xr:uid="{00000000-0005-0000-0000-00003E220000}"/>
    <cellStyle name="40% - Accent3 4 2 12 4" xfId="12183" xr:uid="{00000000-0005-0000-0000-00003F220000}"/>
    <cellStyle name="40% - Accent3 4 2 13" xfId="12184" xr:uid="{00000000-0005-0000-0000-000040220000}"/>
    <cellStyle name="40% - Accent3 4 2 13 2" xfId="12185" xr:uid="{00000000-0005-0000-0000-000041220000}"/>
    <cellStyle name="40% - Accent3 4 2 14" xfId="12186" xr:uid="{00000000-0005-0000-0000-000042220000}"/>
    <cellStyle name="40% - Accent3 4 2 14 2" xfId="12187" xr:uid="{00000000-0005-0000-0000-000043220000}"/>
    <cellStyle name="40% - Accent3 4 2 15" xfId="12188" xr:uid="{00000000-0005-0000-0000-000044220000}"/>
    <cellStyle name="40% - Accent3 4 2 15 2" xfId="12189" xr:uid="{00000000-0005-0000-0000-000045220000}"/>
    <cellStyle name="40% - Accent3 4 2 16" xfId="12190" xr:uid="{00000000-0005-0000-0000-000046220000}"/>
    <cellStyle name="40% - Accent3 4 2 16 2" xfId="12191" xr:uid="{00000000-0005-0000-0000-000047220000}"/>
    <cellStyle name="40% - Accent3 4 2 17" xfId="12192" xr:uid="{00000000-0005-0000-0000-000048220000}"/>
    <cellStyle name="40% - Accent3 4 2 18" xfId="12165" xr:uid="{00000000-0005-0000-0000-000049220000}"/>
    <cellStyle name="40% - Accent3 4 2 2" xfId="4552" xr:uid="{00000000-0005-0000-0000-00004A220000}"/>
    <cellStyle name="40% - Accent3 4 2 2 2" xfId="12194" xr:uid="{00000000-0005-0000-0000-00004B220000}"/>
    <cellStyle name="40% - Accent3 4 2 2 2 2" xfId="12195" xr:uid="{00000000-0005-0000-0000-00004C220000}"/>
    <cellStyle name="40% - Accent3 4 2 2 3" xfId="12196" xr:uid="{00000000-0005-0000-0000-00004D220000}"/>
    <cellStyle name="40% - Accent3 4 2 2 3 2" xfId="12197" xr:uid="{00000000-0005-0000-0000-00004E220000}"/>
    <cellStyle name="40% - Accent3 4 2 2 4" xfId="12198" xr:uid="{00000000-0005-0000-0000-00004F220000}"/>
    <cellStyle name="40% - Accent3 4 2 2 5" xfId="12193" xr:uid="{00000000-0005-0000-0000-000050220000}"/>
    <cellStyle name="40% - Accent3 4 2 3" xfId="12199" xr:uid="{00000000-0005-0000-0000-000051220000}"/>
    <cellStyle name="40% - Accent3 4 2 3 2" xfId="12200" xr:uid="{00000000-0005-0000-0000-000052220000}"/>
    <cellStyle name="40% - Accent3 4 2 3 2 2" xfId="12201" xr:uid="{00000000-0005-0000-0000-000053220000}"/>
    <cellStyle name="40% - Accent3 4 2 3 3" xfId="12202" xr:uid="{00000000-0005-0000-0000-000054220000}"/>
    <cellStyle name="40% - Accent3 4 2 3 3 2" xfId="12203" xr:uid="{00000000-0005-0000-0000-000055220000}"/>
    <cellStyle name="40% - Accent3 4 2 3 4" xfId="12204" xr:uid="{00000000-0005-0000-0000-000056220000}"/>
    <cellStyle name="40% - Accent3 4 2 4" xfId="12205" xr:uid="{00000000-0005-0000-0000-000057220000}"/>
    <cellStyle name="40% - Accent3 4 2 4 2" xfId="12206" xr:uid="{00000000-0005-0000-0000-000058220000}"/>
    <cellStyle name="40% - Accent3 4 2 4 2 2" xfId="12207" xr:uid="{00000000-0005-0000-0000-000059220000}"/>
    <cellStyle name="40% - Accent3 4 2 4 3" xfId="12208" xr:uid="{00000000-0005-0000-0000-00005A220000}"/>
    <cellStyle name="40% - Accent3 4 2 4 3 2" xfId="12209" xr:uid="{00000000-0005-0000-0000-00005B220000}"/>
    <cellStyle name="40% - Accent3 4 2 4 4" xfId="12210" xr:uid="{00000000-0005-0000-0000-00005C220000}"/>
    <cellStyle name="40% - Accent3 4 2 5" xfId="12211" xr:uid="{00000000-0005-0000-0000-00005D220000}"/>
    <cellStyle name="40% - Accent3 4 2 5 2" xfId="12212" xr:uid="{00000000-0005-0000-0000-00005E220000}"/>
    <cellStyle name="40% - Accent3 4 2 5 2 2" xfId="12213" xr:uid="{00000000-0005-0000-0000-00005F220000}"/>
    <cellStyle name="40% - Accent3 4 2 5 3" xfId="12214" xr:uid="{00000000-0005-0000-0000-000060220000}"/>
    <cellStyle name="40% - Accent3 4 2 5 3 2" xfId="12215" xr:uid="{00000000-0005-0000-0000-000061220000}"/>
    <cellStyle name="40% - Accent3 4 2 5 4" xfId="12216" xr:uid="{00000000-0005-0000-0000-000062220000}"/>
    <cellStyle name="40% - Accent3 4 2 6" xfId="12217" xr:uid="{00000000-0005-0000-0000-000063220000}"/>
    <cellStyle name="40% - Accent3 4 2 6 2" xfId="12218" xr:uid="{00000000-0005-0000-0000-000064220000}"/>
    <cellStyle name="40% - Accent3 4 2 6 2 2" xfId="12219" xr:uid="{00000000-0005-0000-0000-000065220000}"/>
    <cellStyle name="40% - Accent3 4 2 6 3" xfId="12220" xr:uid="{00000000-0005-0000-0000-000066220000}"/>
    <cellStyle name="40% - Accent3 4 2 6 3 2" xfId="12221" xr:uid="{00000000-0005-0000-0000-000067220000}"/>
    <cellStyle name="40% - Accent3 4 2 6 4" xfId="12222" xr:uid="{00000000-0005-0000-0000-000068220000}"/>
    <cellStyle name="40% - Accent3 4 2 7" xfId="12223" xr:uid="{00000000-0005-0000-0000-000069220000}"/>
    <cellStyle name="40% - Accent3 4 2 7 2" xfId="12224" xr:uid="{00000000-0005-0000-0000-00006A220000}"/>
    <cellStyle name="40% - Accent3 4 2 7 2 2" xfId="12225" xr:uid="{00000000-0005-0000-0000-00006B220000}"/>
    <cellStyle name="40% - Accent3 4 2 7 3" xfId="12226" xr:uid="{00000000-0005-0000-0000-00006C220000}"/>
    <cellStyle name="40% - Accent3 4 2 7 3 2" xfId="12227" xr:uid="{00000000-0005-0000-0000-00006D220000}"/>
    <cellStyle name="40% - Accent3 4 2 7 4" xfId="12228" xr:uid="{00000000-0005-0000-0000-00006E220000}"/>
    <cellStyle name="40% - Accent3 4 2 8" xfId="12229" xr:uid="{00000000-0005-0000-0000-00006F220000}"/>
    <cellStyle name="40% - Accent3 4 2 8 2" xfId="12230" xr:uid="{00000000-0005-0000-0000-000070220000}"/>
    <cellStyle name="40% - Accent3 4 2 8 2 2" xfId="12231" xr:uid="{00000000-0005-0000-0000-000071220000}"/>
    <cellStyle name="40% - Accent3 4 2 8 3" xfId="12232" xr:uid="{00000000-0005-0000-0000-000072220000}"/>
    <cellStyle name="40% - Accent3 4 2 8 3 2" xfId="12233" xr:uid="{00000000-0005-0000-0000-000073220000}"/>
    <cellStyle name="40% - Accent3 4 2 8 4" xfId="12234" xr:uid="{00000000-0005-0000-0000-000074220000}"/>
    <cellStyle name="40% - Accent3 4 2 9" xfId="12235" xr:uid="{00000000-0005-0000-0000-000075220000}"/>
    <cellStyle name="40% - Accent3 4 2 9 2" xfId="12236" xr:uid="{00000000-0005-0000-0000-000076220000}"/>
    <cellStyle name="40% - Accent3 4 2 9 2 2" xfId="12237" xr:uid="{00000000-0005-0000-0000-000077220000}"/>
    <cellStyle name="40% - Accent3 4 2 9 3" xfId="12238" xr:uid="{00000000-0005-0000-0000-000078220000}"/>
    <cellStyle name="40% - Accent3 4 2 9 3 2" xfId="12239" xr:uid="{00000000-0005-0000-0000-000079220000}"/>
    <cellStyle name="40% - Accent3 4 2 9 4" xfId="12240" xr:uid="{00000000-0005-0000-0000-00007A220000}"/>
    <cellStyle name="40% - Accent3 4 20" xfId="12241" xr:uid="{00000000-0005-0000-0000-00007B220000}"/>
    <cellStyle name="40% - Accent3 4 21" xfId="12104" xr:uid="{00000000-0005-0000-0000-00007C220000}"/>
    <cellStyle name="40% - Accent3 4 3" xfId="1626" xr:uid="{00000000-0005-0000-0000-00007D220000}"/>
    <cellStyle name="40% - Accent3 4 3 2" xfId="4553" xr:uid="{00000000-0005-0000-0000-00007E220000}"/>
    <cellStyle name="40% - Accent3 4 3 2 2" xfId="12244" xr:uid="{00000000-0005-0000-0000-00007F220000}"/>
    <cellStyle name="40% - Accent3 4 3 2 3" xfId="12243" xr:uid="{00000000-0005-0000-0000-000080220000}"/>
    <cellStyle name="40% - Accent3 4 3 3" xfId="12245" xr:uid="{00000000-0005-0000-0000-000081220000}"/>
    <cellStyle name="40% - Accent3 4 3 3 2" xfId="12246" xr:uid="{00000000-0005-0000-0000-000082220000}"/>
    <cellStyle name="40% - Accent3 4 3 4" xfId="12247" xr:uid="{00000000-0005-0000-0000-000083220000}"/>
    <cellStyle name="40% - Accent3 4 3 4 2" xfId="12248" xr:uid="{00000000-0005-0000-0000-000084220000}"/>
    <cellStyle name="40% - Accent3 4 3 5" xfId="12249" xr:uid="{00000000-0005-0000-0000-000085220000}"/>
    <cellStyle name="40% - Accent3 4 3 5 2" xfId="12250" xr:uid="{00000000-0005-0000-0000-000086220000}"/>
    <cellStyle name="40% - Accent3 4 3 6" xfId="12251" xr:uid="{00000000-0005-0000-0000-000087220000}"/>
    <cellStyle name="40% - Accent3 4 3 7" xfId="12242" xr:uid="{00000000-0005-0000-0000-000088220000}"/>
    <cellStyle name="40% - Accent3 4 4" xfId="1797" xr:uid="{00000000-0005-0000-0000-000089220000}"/>
    <cellStyle name="40% - Accent3 4 4 2" xfId="12253" xr:uid="{00000000-0005-0000-0000-00008A220000}"/>
    <cellStyle name="40% - Accent3 4 4 2 2" xfId="12254" xr:uid="{00000000-0005-0000-0000-00008B220000}"/>
    <cellStyle name="40% - Accent3 4 4 3" xfId="12255" xr:uid="{00000000-0005-0000-0000-00008C220000}"/>
    <cellStyle name="40% - Accent3 4 4 3 2" xfId="12256" xr:uid="{00000000-0005-0000-0000-00008D220000}"/>
    <cellStyle name="40% - Accent3 4 4 4" xfId="12257" xr:uid="{00000000-0005-0000-0000-00008E220000}"/>
    <cellStyle name="40% - Accent3 4 4 4 2" xfId="12258" xr:uid="{00000000-0005-0000-0000-00008F220000}"/>
    <cellStyle name="40% - Accent3 4 4 5" xfId="12259" xr:uid="{00000000-0005-0000-0000-000090220000}"/>
    <cellStyle name="40% - Accent3 4 4 6" xfId="12252" xr:uid="{00000000-0005-0000-0000-000091220000}"/>
    <cellStyle name="40% - Accent3 4 5" xfId="2133" xr:uid="{00000000-0005-0000-0000-000092220000}"/>
    <cellStyle name="40% - Accent3 4 5 2" xfId="12261" xr:uid="{00000000-0005-0000-0000-000093220000}"/>
    <cellStyle name="40% - Accent3 4 5 2 2" xfId="12262" xr:uid="{00000000-0005-0000-0000-000094220000}"/>
    <cellStyle name="40% - Accent3 4 5 3" xfId="12263" xr:uid="{00000000-0005-0000-0000-000095220000}"/>
    <cellStyle name="40% - Accent3 4 5 3 2" xfId="12264" xr:uid="{00000000-0005-0000-0000-000096220000}"/>
    <cellStyle name="40% - Accent3 4 5 4" xfId="12265" xr:uid="{00000000-0005-0000-0000-000097220000}"/>
    <cellStyle name="40% - Accent3 4 5 4 2" xfId="12266" xr:uid="{00000000-0005-0000-0000-000098220000}"/>
    <cellStyle name="40% - Accent3 4 5 5" xfId="12267" xr:uid="{00000000-0005-0000-0000-000099220000}"/>
    <cellStyle name="40% - Accent3 4 5 6" xfId="12260" xr:uid="{00000000-0005-0000-0000-00009A220000}"/>
    <cellStyle name="40% - Accent3 4 6" xfId="2507" xr:uid="{00000000-0005-0000-0000-00009B220000}"/>
    <cellStyle name="40% - Accent3 4 6 2" xfId="12269" xr:uid="{00000000-0005-0000-0000-00009C220000}"/>
    <cellStyle name="40% - Accent3 4 6 2 2" xfId="12270" xr:uid="{00000000-0005-0000-0000-00009D220000}"/>
    <cellStyle name="40% - Accent3 4 6 3" xfId="12271" xr:uid="{00000000-0005-0000-0000-00009E220000}"/>
    <cellStyle name="40% - Accent3 4 6 3 2" xfId="12272" xr:uid="{00000000-0005-0000-0000-00009F220000}"/>
    <cellStyle name="40% - Accent3 4 6 4" xfId="12273" xr:uid="{00000000-0005-0000-0000-0000A0220000}"/>
    <cellStyle name="40% - Accent3 4 6 4 2" xfId="12274" xr:uid="{00000000-0005-0000-0000-0000A1220000}"/>
    <cellStyle name="40% - Accent3 4 6 5" xfId="12275" xr:uid="{00000000-0005-0000-0000-0000A2220000}"/>
    <cellStyle name="40% - Accent3 4 6 6" xfId="12268" xr:uid="{00000000-0005-0000-0000-0000A3220000}"/>
    <cellStyle name="40% - Accent3 4 7" xfId="2879" xr:uid="{00000000-0005-0000-0000-0000A4220000}"/>
    <cellStyle name="40% - Accent3 4 7 2" xfId="12277" xr:uid="{00000000-0005-0000-0000-0000A5220000}"/>
    <cellStyle name="40% - Accent3 4 7 2 2" xfId="12278" xr:uid="{00000000-0005-0000-0000-0000A6220000}"/>
    <cellStyle name="40% - Accent3 4 7 3" xfId="12279" xr:uid="{00000000-0005-0000-0000-0000A7220000}"/>
    <cellStyle name="40% - Accent3 4 7 3 2" xfId="12280" xr:uid="{00000000-0005-0000-0000-0000A8220000}"/>
    <cellStyle name="40% - Accent3 4 7 4" xfId="12281" xr:uid="{00000000-0005-0000-0000-0000A9220000}"/>
    <cellStyle name="40% - Accent3 4 7 4 2" xfId="12282" xr:uid="{00000000-0005-0000-0000-0000AA220000}"/>
    <cellStyle name="40% - Accent3 4 7 5" xfId="12283" xr:uid="{00000000-0005-0000-0000-0000AB220000}"/>
    <cellStyle name="40% - Accent3 4 7 6" xfId="12276" xr:uid="{00000000-0005-0000-0000-0000AC220000}"/>
    <cellStyle name="40% - Accent3 4 8" xfId="3250" xr:uid="{00000000-0005-0000-0000-0000AD220000}"/>
    <cellStyle name="40% - Accent3 4 8 2" xfId="12285" xr:uid="{00000000-0005-0000-0000-0000AE220000}"/>
    <cellStyle name="40% - Accent3 4 8 2 2" xfId="12286" xr:uid="{00000000-0005-0000-0000-0000AF220000}"/>
    <cellStyle name="40% - Accent3 4 8 3" xfId="12287" xr:uid="{00000000-0005-0000-0000-0000B0220000}"/>
    <cellStyle name="40% - Accent3 4 8 3 2" xfId="12288" xr:uid="{00000000-0005-0000-0000-0000B1220000}"/>
    <cellStyle name="40% - Accent3 4 8 4" xfId="12289" xr:uid="{00000000-0005-0000-0000-0000B2220000}"/>
    <cellStyle name="40% - Accent3 4 8 4 2" xfId="12290" xr:uid="{00000000-0005-0000-0000-0000B3220000}"/>
    <cellStyle name="40% - Accent3 4 8 5" xfId="12291" xr:uid="{00000000-0005-0000-0000-0000B4220000}"/>
    <cellStyle name="40% - Accent3 4 8 6" xfId="12284" xr:uid="{00000000-0005-0000-0000-0000B5220000}"/>
    <cellStyle name="40% - Accent3 4 9" xfId="3590" xr:uid="{00000000-0005-0000-0000-0000B6220000}"/>
    <cellStyle name="40% - Accent3 4 9 2" xfId="4554" xr:uid="{00000000-0005-0000-0000-0000B7220000}"/>
    <cellStyle name="40% - Accent3 4 9 2 2" xfId="12294" xr:uid="{00000000-0005-0000-0000-0000B8220000}"/>
    <cellStyle name="40% - Accent3 4 9 2 3" xfId="12293" xr:uid="{00000000-0005-0000-0000-0000B9220000}"/>
    <cellStyle name="40% - Accent3 4 9 3" xfId="12295" xr:uid="{00000000-0005-0000-0000-0000BA220000}"/>
    <cellStyle name="40% - Accent3 4 9 3 2" xfId="12296" xr:uid="{00000000-0005-0000-0000-0000BB220000}"/>
    <cellStyle name="40% - Accent3 4 9 4" xfId="12297" xr:uid="{00000000-0005-0000-0000-0000BC220000}"/>
    <cellStyle name="40% - Accent3 4 9 4 2" xfId="12298" xr:uid="{00000000-0005-0000-0000-0000BD220000}"/>
    <cellStyle name="40% - Accent3 4 9 5" xfId="12299" xr:uid="{00000000-0005-0000-0000-0000BE220000}"/>
    <cellStyle name="40% - Accent3 4 9 5 2" xfId="12300" xr:uid="{00000000-0005-0000-0000-0000BF220000}"/>
    <cellStyle name="40% - Accent3 4 9 6" xfId="12301" xr:uid="{00000000-0005-0000-0000-0000C0220000}"/>
    <cellStyle name="40% - Accent3 4 9 7" xfId="12292" xr:uid="{00000000-0005-0000-0000-0000C1220000}"/>
    <cellStyle name="40% - Accent3 5" xfId="391" xr:uid="{00000000-0005-0000-0000-0000C2220000}"/>
    <cellStyle name="40% - Accent3 5 10" xfId="12303" xr:uid="{00000000-0005-0000-0000-0000C3220000}"/>
    <cellStyle name="40% - Accent3 5 10 2" xfId="12304" xr:uid="{00000000-0005-0000-0000-0000C4220000}"/>
    <cellStyle name="40% - Accent3 5 10 2 2" xfId="12305" xr:uid="{00000000-0005-0000-0000-0000C5220000}"/>
    <cellStyle name="40% - Accent3 5 10 3" xfId="12306" xr:uid="{00000000-0005-0000-0000-0000C6220000}"/>
    <cellStyle name="40% - Accent3 5 10 3 2" xfId="12307" xr:uid="{00000000-0005-0000-0000-0000C7220000}"/>
    <cellStyle name="40% - Accent3 5 10 4" xfId="12308" xr:uid="{00000000-0005-0000-0000-0000C8220000}"/>
    <cellStyle name="40% - Accent3 5 11" xfId="12309" xr:uid="{00000000-0005-0000-0000-0000C9220000}"/>
    <cellStyle name="40% - Accent3 5 11 2" xfId="12310" xr:uid="{00000000-0005-0000-0000-0000CA220000}"/>
    <cellStyle name="40% - Accent3 5 11 2 2" xfId="12311" xr:uid="{00000000-0005-0000-0000-0000CB220000}"/>
    <cellStyle name="40% - Accent3 5 11 3" xfId="12312" xr:uid="{00000000-0005-0000-0000-0000CC220000}"/>
    <cellStyle name="40% - Accent3 5 11 3 2" xfId="12313" xr:uid="{00000000-0005-0000-0000-0000CD220000}"/>
    <cellStyle name="40% - Accent3 5 11 4" xfId="12314" xr:uid="{00000000-0005-0000-0000-0000CE220000}"/>
    <cellStyle name="40% - Accent3 5 12" xfId="12315" xr:uid="{00000000-0005-0000-0000-0000CF220000}"/>
    <cellStyle name="40% - Accent3 5 12 2" xfId="12316" xr:uid="{00000000-0005-0000-0000-0000D0220000}"/>
    <cellStyle name="40% - Accent3 5 12 2 2" xfId="12317" xr:uid="{00000000-0005-0000-0000-0000D1220000}"/>
    <cellStyle name="40% - Accent3 5 12 3" xfId="12318" xr:uid="{00000000-0005-0000-0000-0000D2220000}"/>
    <cellStyle name="40% - Accent3 5 12 3 2" xfId="12319" xr:uid="{00000000-0005-0000-0000-0000D3220000}"/>
    <cellStyle name="40% - Accent3 5 12 4" xfId="12320" xr:uid="{00000000-0005-0000-0000-0000D4220000}"/>
    <cellStyle name="40% - Accent3 5 13" xfId="12321" xr:uid="{00000000-0005-0000-0000-0000D5220000}"/>
    <cellStyle name="40% - Accent3 5 13 2" xfId="12322" xr:uid="{00000000-0005-0000-0000-0000D6220000}"/>
    <cellStyle name="40% - Accent3 5 13 2 2" xfId="12323" xr:uid="{00000000-0005-0000-0000-0000D7220000}"/>
    <cellStyle name="40% - Accent3 5 13 3" xfId="12324" xr:uid="{00000000-0005-0000-0000-0000D8220000}"/>
    <cellStyle name="40% - Accent3 5 13 3 2" xfId="12325" xr:uid="{00000000-0005-0000-0000-0000D9220000}"/>
    <cellStyle name="40% - Accent3 5 13 4" xfId="12326" xr:uid="{00000000-0005-0000-0000-0000DA220000}"/>
    <cellStyle name="40% - Accent3 5 14" xfId="12327" xr:uid="{00000000-0005-0000-0000-0000DB220000}"/>
    <cellStyle name="40% - Accent3 5 14 2" xfId="12328" xr:uid="{00000000-0005-0000-0000-0000DC220000}"/>
    <cellStyle name="40% - Accent3 5 15" xfId="12329" xr:uid="{00000000-0005-0000-0000-0000DD220000}"/>
    <cellStyle name="40% - Accent3 5 15 2" xfId="12330" xr:uid="{00000000-0005-0000-0000-0000DE220000}"/>
    <cellStyle name="40% - Accent3 5 16" xfId="12331" xr:uid="{00000000-0005-0000-0000-0000DF220000}"/>
    <cellStyle name="40% - Accent3 5 16 2" xfId="12332" xr:uid="{00000000-0005-0000-0000-0000E0220000}"/>
    <cellStyle name="40% - Accent3 5 17" xfId="12333" xr:uid="{00000000-0005-0000-0000-0000E1220000}"/>
    <cellStyle name="40% - Accent3 5 17 2" xfId="12334" xr:uid="{00000000-0005-0000-0000-0000E2220000}"/>
    <cellStyle name="40% - Accent3 5 18" xfId="12335" xr:uid="{00000000-0005-0000-0000-0000E3220000}"/>
    <cellStyle name="40% - Accent3 5 19" xfId="12302" xr:uid="{00000000-0005-0000-0000-0000E4220000}"/>
    <cellStyle name="40% - Accent3 5 2" xfId="1860" xr:uid="{00000000-0005-0000-0000-0000E5220000}"/>
    <cellStyle name="40% - Accent3 5 2 10" xfId="12337" xr:uid="{00000000-0005-0000-0000-0000E6220000}"/>
    <cellStyle name="40% - Accent3 5 2 10 2" xfId="12338" xr:uid="{00000000-0005-0000-0000-0000E7220000}"/>
    <cellStyle name="40% - Accent3 5 2 10 2 2" xfId="12339" xr:uid="{00000000-0005-0000-0000-0000E8220000}"/>
    <cellStyle name="40% - Accent3 5 2 10 3" xfId="12340" xr:uid="{00000000-0005-0000-0000-0000E9220000}"/>
    <cellStyle name="40% - Accent3 5 2 10 3 2" xfId="12341" xr:uid="{00000000-0005-0000-0000-0000EA220000}"/>
    <cellStyle name="40% - Accent3 5 2 10 4" xfId="12342" xr:uid="{00000000-0005-0000-0000-0000EB220000}"/>
    <cellStyle name="40% - Accent3 5 2 11" xfId="12343" xr:uid="{00000000-0005-0000-0000-0000EC220000}"/>
    <cellStyle name="40% - Accent3 5 2 11 2" xfId="12344" xr:uid="{00000000-0005-0000-0000-0000ED220000}"/>
    <cellStyle name="40% - Accent3 5 2 11 2 2" xfId="12345" xr:uid="{00000000-0005-0000-0000-0000EE220000}"/>
    <cellStyle name="40% - Accent3 5 2 11 3" xfId="12346" xr:uid="{00000000-0005-0000-0000-0000EF220000}"/>
    <cellStyle name="40% - Accent3 5 2 11 3 2" xfId="12347" xr:uid="{00000000-0005-0000-0000-0000F0220000}"/>
    <cellStyle name="40% - Accent3 5 2 11 4" xfId="12348" xr:uid="{00000000-0005-0000-0000-0000F1220000}"/>
    <cellStyle name="40% - Accent3 5 2 12" xfId="12349" xr:uid="{00000000-0005-0000-0000-0000F2220000}"/>
    <cellStyle name="40% - Accent3 5 2 12 2" xfId="12350" xr:uid="{00000000-0005-0000-0000-0000F3220000}"/>
    <cellStyle name="40% - Accent3 5 2 12 2 2" xfId="12351" xr:uid="{00000000-0005-0000-0000-0000F4220000}"/>
    <cellStyle name="40% - Accent3 5 2 12 3" xfId="12352" xr:uid="{00000000-0005-0000-0000-0000F5220000}"/>
    <cellStyle name="40% - Accent3 5 2 12 3 2" xfId="12353" xr:uid="{00000000-0005-0000-0000-0000F6220000}"/>
    <cellStyle name="40% - Accent3 5 2 12 4" xfId="12354" xr:uid="{00000000-0005-0000-0000-0000F7220000}"/>
    <cellStyle name="40% - Accent3 5 2 13" xfId="12355" xr:uid="{00000000-0005-0000-0000-0000F8220000}"/>
    <cellStyle name="40% - Accent3 5 2 13 2" xfId="12356" xr:uid="{00000000-0005-0000-0000-0000F9220000}"/>
    <cellStyle name="40% - Accent3 5 2 14" xfId="12357" xr:uid="{00000000-0005-0000-0000-0000FA220000}"/>
    <cellStyle name="40% - Accent3 5 2 14 2" xfId="12358" xr:uid="{00000000-0005-0000-0000-0000FB220000}"/>
    <cellStyle name="40% - Accent3 5 2 15" xfId="12359" xr:uid="{00000000-0005-0000-0000-0000FC220000}"/>
    <cellStyle name="40% - Accent3 5 2 15 2" xfId="12360" xr:uid="{00000000-0005-0000-0000-0000FD220000}"/>
    <cellStyle name="40% - Accent3 5 2 16" xfId="12361" xr:uid="{00000000-0005-0000-0000-0000FE220000}"/>
    <cellStyle name="40% - Accent3 5 2 17" xfId="12336" xr:uid="{00000000-0005-0000-0000-0000FF220000}"/>
    <cellStyle name="40% - Accent3 5 2 2" xfId="12362" xr:uid="{00000000-0005-0000-0000-000000230000}"/>
    <cellStyle name="40% - Accent3 5 2 2 2" xfId="12363" xr:uid="{00000000-0005-0000-0000-000001230000}"/>
    <cellStyle name="40% - Accent3 5 2 2 2 2" xfId="12364" xr:uid="{00000000-0005-0000-0000-000002230000}"/>
    <cellStyle name="40% - Accent3 5 2 2 3" xfId="12365" xr:uid="{00000000-0005-0000-0000-000003230000}"/>
    <cellStyle name="40% - Accent3 5 2 2 3 2" xfId="12366" xr:uid="{00000000-0005-0000-0000-000004230000}"/>
    <cellStyle name="40% - Accent3 5 2 2 4" xfId="12367" xr:uid="{00000000-0005-0000-0000-000005230000}"/>
    <cellStyle name="40% - Accent3 5 2 3" xfId="12368" xr:uid="{00000000-0005-0000-0000-000006230000}"/>
    <cellStyle name="40% - Accent3 5 2 3 2" xfId="12369" xr:uid="{00000000-0005-0000-0000-000007230000}"/>
    <cellStyle name="40% - Accent3 5 2 3 2 2" xfId="12370" xr:uid="{00000000-0005-0000-0000-000008230000}"/>
    <cellStyle name="40% - Accent3 5 2 3 3" xfId="12371" xr:uid="{00000000-0005-0000-0000-000009230000}"/>
    <cellStyle name="40% - Accent3 5 2 3 3 2" xfId="12372" xr:uid="{00000000-0005-0000-0000-00000A230000}"/>
    <cellStyle name="40% - Accent3 5 2 3 4" xfId="12373" xr:uid="{00000000-0005-0000-0000-00000B230000}"/>
    <cellStyle name="40% - Accent3 5 2 4" xfId="12374" xr:uid="{00000000-0005-0000-0000-00000C230000}"/>
    <cellStyle name="40% - Accent3 5 2 4 2" xfId="12375" xr:uid="{00000000-0005-0000-0000-00000D230000}"/>
    <cellStyle name="40% - Accent3 5 2 4 2 2" xfId="12376" xr:uid="{00000000-0005-0000-0000-00000E230000}"/>
    <cellStyle name="40% - Accent3 5 2 4 3" xfId="12377" xr:uid="{00000000-0005-0000-0000-00000F230000}"/>
    <cellStyle name="40% - Accent3 5 2 4 3 2" xfId="12378" xr:uid="{00000000-0005-0000-0000-000010230000}"/>
    <cellStyle name="40% - Accent3 5 2 4 4" xfId="12379" xr:uid="{00000000-0005-0000-0000-000011230000}"/>
    <cellStyle name="40% - Accent3 5 2 5" xfId="12380" xr:uid="{00000000-0005-0000-0000-000012230000}"/>
    <cellStyle name="40% - Accent3 5 2 5 2" xfId="12381" xr:uid="{00000000-0005-0000-0000-000013230000}"/>
    <cellStyle name="40% - Accent3 5 2 5 2 2" xfId="12382" xr:uid="{00000000-0005-0000-0000-000014230000}"/>
    <cellStyle name="40% - Accent3 5 2 5 3" xfId="12383" xr:uid="{00000000-0005-0000-0000-000015230000}"/>
    <cellStyle name="40% - Accent3 5 2 5 3 2" xfId="12384" xr:uid="{00000000-0005-0000-0000-000016230000}"/>
    <cellStyle name="40% - Accent3 5 2 5 4" xfId="12385" xr:uid="{00000000-0005-0000-0000-000017230000}"/>
    <cellStyle name="40% - Accent3 5 2 6" xfId="12386" xr:uid="{00000000-0005-0000-0000-000018230000}"/>
    <cellStyle name="40% - Accent3 5 2 6 2" xfId="12387" xr:uid="{00000000-0005-0000-0000-000019230000}"/>
    <cellStyle name="40% - Accent3 5 2 6 2 2" xfId="12388" xr:uid="{00000000-0005-0000-0000-00001A230000}"/>
    <cellStyle name="40% - Accent3 5 2 6 3" xfId="12389" xr:uid="{00000000-0005-0000-0000-00001B230000}"/>
    <cellStyle name="40% - Accent3 5 2 6 3 2" xfId="12390" xr:uid="{00000000-0005-0000-0000-00001C230000}"/>
    <cellStyle name="40% - Accent3 5 2 6 4" xfId="12391" xr:uid="{00000000-0005-0000-0000-00001D230000}"/>
    <cellStyle name="40% - Accent3 5 2 7" xfId="12392" xr:uid="{00000000-0005-0000-0000-00001E230000}"/>
    <cellStyle name="40% - Accent3 5 2 7 2" xfId="12393" xr:uid="{00000000-0005-0000-0000-00001F230000}"/>
    <cellStyle name="40% - Accent3 5 2 7 2 2" xfId="12394" xr:uid="{00000000-0005-0000-0000-000020230000}"/>
    <cellStyle name="40% - Accent3 5 2 7 3" xfId="12395" xr:uid="{00000000-0005-0000-0000-000021230000}"/>
    <cellStyle name="40% - Accent3 5 2 7 3 2" xfId="12396" xr:uid="{00000000-0005-0000-0000-000022230000}"/>
    <cellStyle name="40% - Accent3 5 2 7 4" xfId="12397" xr:uid="{00000000-0005-0000-0000-000023230000}"/>
    <cellStyle name="40% - Accent3 5 2 8" xfId="12398" xr:uid="{00000000-0005-0000-0000-000024230000}"/>
    <cellStyle name="40% - Accent3 5 2 8 2" xfId="12399" xr:uid="{00000000-0005-0000-0000-000025230000}"/>
    <cellStyle name="40% - Accent3 5 2 8 2 2" xfId="12400" xr:uid="{00000000-0005-0000-0000-000026230000}"/>
    <cellStyle name="40% - Accent3 5 2 8 3" xfId="12401" xr:uid="{00000000-0005-0000-0000-000027230000}"/>
    <cellStyle name="40% - Accent3 5 2 8 3 2" xfId="12402" xr:uid="{00000000-0005-0000-0000-000028230000}"/>
    <cellStyle name="40% - Accent3 5 2 8 4" xfId="12403" xr:uid="{00000000-0005-0000-0000-000029230000}"/>
    <cellStyle name="40% - Accent3 5 2 9" xfId="12404" xr:uid="{00000000-0005-0000-0000-00002A230000}"/>
    <cellStyle name="40% - Accent3 5 2 9 2" xfId="12405" xr:uid="{00000000-0005-0000-0000-00002B230000}"/>
    <cellStyle name="40% - Accent3 5 2 9 2 2" xfId="12406" xr:uid="{00000000-0005-0000-0000-00002C230000}"/>
    <cellStyle name="40% - Accent3 5 2 9 3" xfId="12407" xr:uid="{00000000-0005-0000-0000-00002D230000}"/>
    <cellStyle name="40% - Accent3 5 2 9 3 2" xfId="12408" xr:uid="{00000000-0005-0000-0000-00002E230000}"/>
    <cellStyle name="40% - Accent3 5 2 9 4" xfId="12409" xr:uid="{00000000-0005-0000-0000-00002F230000}"/>
    <cellStyle name="40% - Accent3 5 3" xfId="2235" xr:uid="{00000000-0005-0000-0000-000030230000}"/>
    <cellStyle name="40% - Accent3 5 3 2" xfId="12411" xr:uid="{00000000-0005-0000-0000-000031230000}"/>
    <cellStyle name="40% - Accent3 5 3 2 2" xfId="12412" xr:uid="{00000000-0005-0000-0000-000032230000}"/>
    <cellStyle name="40% - Accent3 5 3 3" xfId="12413" xr:uid="{00000000-0005-0000-0000-000033230000}"/>
    <cellStyle name="40% - Accent3 5 3 3 2" xfId="12414" xr:uid="{00000000-0005-0000-0000-000034230000}"/>
    <cellStyle name="40% - Accent3 5 3 4" xfId="12415" xr:uid="{00000000-0005-0000-0000-000035230000}"/>
    <cellStyle name="40% - Accent3 5 3 4 2" xfId="12416" xr:uid="{00000000-0005-0000-0000-000036230000}"/>
    <cellStyle name="40% - Accent3 5 3 5" xfId="12417" xr:uid="{00000000-0005-0000-0000-000037230000}"/>
    <cellStyle name="40% - Accent3 5 3 6" xfId="12410" xr:uid="{00000000-0005-0000-0000-000038230000}"/>
    <cellStyle name="40% - Accent3 5 4" xfId="2609" xr:uid="{00000000-0005-0000-0000-000039230000}"/>
    <cellStyle name="40% - Accent3 5 4 2" xfId="12419" xr:uid="{00000000-0005-0000-0000-00003A230000}"/>
    <cellStyle name="40% - Accent3 5 4 2 2" xfId="12420" xr:uid="{00000000-0005-0000-0000-00003B230000}"/>
    <cellStyle name="40% - Accent3 5 4 3" xfId="12421" xr:uid="{00000000-0005-0000-0000-00003C230000}"/>
    <cellStyle name="40% - Accent3 5 4 3 2" xfId="12422" xr:uid="{00000000-0005-0000-0000-00003D230000}"/>
    <cellStyle name="40% - Accent3 5 4 4" xfId="12423" xr:uid="{00000000-0005-0000-0000-00003E230000}"/>
    <cellStyle name="40% - Accent3 5 4 4 2" xfId="12424" xr:uid="{00000000-0005-0000-0000-00003F230000}"/>
    <cellStyle name="40% - Accent3 5 4 5" xfId="12425" xr:uid="{00000000-0005-0000-0000-000040230000}"/>
    <cellStyle name="40% - Accent3 5 4 6" xfId="12418" xr:uid="{00000000-0005-0000-0000-000041230000}"/>
    <cellStyle name="40% - Accent3 5 5" xfId="2981" xr:uid="{00000000-0005-0000-0000-000042230000}"/>
    <cellStyle name="40% - Accent3 5 5 2" xfId="12427" xr:uid="{00000000-0005-0000-0000-000043230000}"/>
    <cellStyle name="40% - Accent3 5 5 2 2" xfId="12428" xr:uid="{00000000-0005-0000-0000-000044230000}"/>
    <cellStyle name="40% - Accent3 5 5 3" xfId="12429" xr:uid="{00000000-0005-0000-0000-000045230000}"/>
    <cellStyle name="40% - Accent3 5 5 3 2" xfId="12430" xr:uid="{00000000-0005-0000-0000-000046230000}"/>
    <cellStyle name="40% - Accent3 5 5 4" xfId="12431" xr:uid="{00000000-0005-0000-0000-000047230000}"/>
    <cellStyle name="40% - Accent3 5 5 4 2" xfId="12432" xr:uid="{00000000-0005-0000-0000-000048230000}"/>
    <cellStyle name="40% - Accent3 5 5 5" xfId="12433" xr:uid="{00000000-0005-0000-0000-000049230000}"/>
    <cellStyle name="40% - Accent3 5 5 6" xfId="12426" xr:uid="{00000000-0005-0000-0000-00004A230000}"/>
    <cellStyle name="40% - Accent3 5 6" xfId="3353" xr:uid="{00000000-0005-0000-0000-00004B230000}"/>
    <cellStyle name="40% - Accent3 5 6 2" xfId="12435" xr:uid="{00000000-0005-0000-0000-00004C230000}"/>
    <cellStyle name="40% - Accent3 5 6 2 2" xfId="12436" xr:uid="{00000000-0005-0000-0000-00004D230000}"/>
    <cellStyle name="40% - Accent3 5 6 3" xfId="12437" xr:uid="{00000000-0005-0000-0000-00004E230000}"/>
    <cellStyle name="40% - Accent3 5 6 3 2" xfId="12438" xr:uid="{00000000-0005-0000-0000-00004F230000}"/>
    <cellStyle name="40% - Accent3 5 6 4" xfId="12439" xr:uid="{00000000-0005-0000-0000-000050230000}"/>
    <cellStyle name="40% - Accent3 5 6 4 2" xfId="12440" xr:uid="{00000000-0005-0000-0000-000051230000}"/>
    <cellStyle name="40% - Accent3 5 6 5" xfId="12441" xr:uid="{00000000-0005-0000-0000-000052230000}"/>
    <cellStyle name="40% - Accent3 5 6 6" xfId="12434" xr:uid="{00000000-0005-0000-0000-000053230000}"/>
    <cellStyle name="40% - Accent3 5 7" xfId="4555" xr:uid="{00000000-0005-0000-0000-000054230000}"/>
    <cellStyle name="40% - Accent3 5 7 2" xfId="12443" xr:uid="{00000000-0005-0000-0000-000055230000}"/>
    <cellStyle name="40% - Accent3 5 7 2 2" xfId="12444" xr:uid="{00000000-0005-0000-0000-000056230000}"/>
    <cellStyle name="40% - Accent3 5 7 3" xfId="12445" xr:uid="{00000000-0005-0000-0000-000057230000}"/>
    <cellStyle name="40% - Accent3 5 7 3 2" xfId="12446" xr:uid="{00000000-0005-0000-0000-000058230000}"/>
    <cellStyle name="40% - Accent3 5 7 4" xfId="12447" xr:uid="{00000000-0005-0000-0000-000059230000}"/>
    <cellStyle name="40% - Accent3 5 7 5" xfId="12442" xr:uid="{00000000-0005-0000-0000-00005A230000}"/>
    <cellStyle name="40% - Accent3 5 8" xfId="12448" xr:uid="{00000000-0005-0000-0000-00005B230000}"/>
    <cellStyle name="40% - Accent3 5 8 2" xfId="12449" xr:uid="{00000000-0005-0000-0000-00005C230000}"/>
    <cellStyle name="40% - Accent3 5 8 2 2" xfId="12450" xr:uid="{00000000-0005-0000-0000-00005D230000}"/>
    <cellStyle name="40% - Accent3 5 8 3" xfId="12451" xr:uid="{00000000-0005-0000-0000-00005E230000}"/>
    <cellStyle name="40% - Accent3 5 8 3 2" xfId="12452" xr:uid="{00000000-0005-0000-0000-00005F230000}"/>
    <cellStyle name="40% - Accent3 5 8 4" xfId="12453" xr:uid="{00000000-0005-0000-0000-000060230000}"/>
    <cellStyle name="40% - Accent3 5 9" xfId="12454" xr:uid="{00000000-0005-0000-0000-000061230000}"/>
    <cellStyle name="40% - Accent3 5 9 2" xfId="12455" xr:uid="{00000000-0005-0000-0000-000062230000}"/>
    <cellStyle name="40% - Accent3 5 9 2 2" xfId="12456" xr:uid="{00000000-0005-0000-0000-000063230000}"/>
    <cellStyle name="40% - Accent3 5 9 3" xfId="12457" xr:uid="{00000000-0005-0000-0000-000064230000}"/>
    <cellStyle name="40% - Accent3 5 9 3 2" xfId="12458" xr:uid="{00000000-0005-0000-0000-000065230000}"/>
    <cellStyle name="40% - Accent3 5 9 4" xfId="12459" xr:uid="{00000000-0005-0000-0000-000066230000}"/>
    <cellStyle name="40% - Accent3 6" xfId="392" xr:uid="{00000000-0005-0000-0000-000067230000}"/>
    <cellStyle name="40% - Accent3 6 10" xfId="5404" xr:uid="{00000000-0005-0000-0000-000068230000}"/>
    <cellStyle name="40% - Accent3 6 10 2" xfId="6325" xr:uid="{00000000-0005-0000-0000-000069230000}"/>
    <cellStyle name="40% - Accent3 6 10 2 2" xfId="12463" xr:uid="{00000000-0005-0000-0000-00006A230000}"/>
    <cellStyle name="40% - Accent3 6 10 2 3" xfId="12462" xr:uid="{00000000-0005-0000-0000-00006B230000}"/>
    <cellStyle name="40% - Accent3 6 10 2 4" xfId="26407" xr:uid="{00000000-0005-0000-0000-00006C230000}"/>
    <cellStyle name="40% - Accent3 6 10 3" xfId="12464" xr:uid="{00000000-0005-0000-0000-00006D230000}"/>
    <cellStyle name="40% - Accent3 6 10 3 2" xfId="12465" xr:uid="{00000000-0005-0000-0000-00006E230000}"/>
    <cellStyle name="40% - Accent3 6 10 4" xfId="12466" xr:uid="{00000000-0005-0000-0000-00006F230000}"/>
    <cellStyle name="40% - Accent3 6 10 5" xfId="12461" xr:uid="{00000000-0005-0000-0000-000070230000}"/>
    <cellStyle name="40% - Accent3 6 10 6" xfId="26406" xr:uid="{00000000-0005-0000-0000-000071230000}"/>
    <cellStyle name="40% - Accent3 6 11" xfId="5714" xr:uid="{00000000-0005-0000-0000-000072230000}"/>
    <cellStyle name="40% - Accent3 6 11 2" xfId="6326" xr:uid="{00000000-0005-0000-0000-000073230000}"/>
    <cellStyle name="40% - Accent3 6 11 2 2" xfId="12469" xr:uid="{00000000-0005-0000-0000-000074230000}"/>
    <cellStyle name="40% - Accent3 6 11 2 3" xfId="12468" xr:uid="{00000000-0005-0000-0000-000075230000}"/>
    <cellStyle name="40% - Accent3 6 11 2 4" xfId="26409" xr:uid="{00000000-0005-0000-0000-000076230000}"/>
    <cellStyle name="40% - Accent3 6 11 3" xfId="12470" xr:uid="{00000000-0005-0000-0000-000077230000}"/>
    <cellStyle name="40% - Accent3 6 11 3 2" xfId="12471" xr:uid="{00000000-0005-0000-0000-000078230000}"/>
    <cellStyle name="40% - Accent3 6 11 4" xfId="12472" xr:uid="{00000000-0005-0000-0000-000079230000}"/>
    <cellStyle name="40% - Accent3 6 11 5" xfId="12467" xr:uid="{00000000-0005-0000-0000-00007A230000}"/>
    <cellStyle name="40% - Accent3 6 11 6" xfId="26408" xr:uid="{00000000-0005-0000-0000-00007B230000}"/>
    <cellStyle name="40% - Accent3 6 12" xfId="4556" xr:uid="{00000000-0005-0000-0000-00007C230000}"/>
    <cellStyle name="40% - Accent3 6 12 2" xfId="6327" xr:uid="{00000000-0005-0000-0000-00007D230000}"/>
    <cellStyle name="40% - Accent3 6 12 2 2" xfId="12475" xr:uid="{00000000-0005-0000-0000-00007E230000}"/>
    <cellStyle name="40% - Accent3 6 12 2 3" xfId="12474" xr:uid="{00000000-0005-0000-0000-00007F230000}"/>
    <cellStyle name="40% - Accent3 6 12 2 4" xfId="26411" xr:uid="{00000000-0005-0000-0000-000080230000}"/>
    <cellStyle name="40% - Accent3 6 12 3" xfId="12476" xr:uid="{00000000-0005-0000-0000-000081230000}"/>
    <cellStyle name="40% - Accent3 6 12 3 2" xfId="12477" xr:uid="{00000000-0005-0000-0000-000082230000}"/>
    <cellStyle name="40% - Accent3 6 12 4" xfId="12478" xr:uid="{00000000-0005-0000-0000-000083230000}"/>
    <cellStyle name="40% - Accent3 6 12 5" xfId="12473" xr:uid="{00000000-0005-0000-0000-000084230000}"/>
    <cellStyle name="40% - Accent3 6 12 6" xfId="26410" xr:uid="{00000000-0005-0000-0000-000085230000}"/>
    <cellStyle name="40% - Accent3 6 13" xfId="6324" xr:uid="{00000000-0005-0000-0000-000086230000}"/>
    <cellStyle name="40% - Accent3 6 13 2" xfId="12480" xr:uid="{00000000-0005-0000-0000-000087230000}"/>
    <cellStyle name="40% - Accent3 6 13 3" xfId="12479" xr:uid="{00000000-0005-0000-0000-000088230000}"/>
    <cellStyle name="40% - Accent3 6 13 4" xfId="26412" xr:uid="{00000000-0005-0000-0000-000089230000}"/>
    <cellStyle name="40% - Accent3 6 14" xfId="12481" xr:uid="{00000000-0005-0000-0000-00008A230000}"/>
    <cellStyle name="40% - Accent3 6 14 2" xfId="12482" xr:uid="{00000000-0005-0000-0000-00008B230000}"/>
    <cellStyle name="40% - Accent3 6 15" xfId="12483" xr:uid="{00000000-0005-0000-0000-00008C230000}"/>
    <cellStyle name="40% - Accent3 6 15 2" xfId="12484" xr:uid="{00000000-0005-0000-0000-00008D230000}"/>
    <cellStyle name="40% - Accent3 6 16" xfId="12485" xr:uid="{00000000-0005-0000-0000-00008E230000}"/>
    <cellStyle name="40% - Accent3 6 16 2" xfId="12486" xr:uid="{00000000-0005-0000-0000-00008F230000}"/>
    <cellStyle name="40% - Accent3 6 16 2 2" xfId="12487" xr:uid="{00000000-0005-0000-0000-000090230000}"/>
    <cellStyle name="40% - Accent3 6 16 3" xfId="12488" xr:uid="{00000000-0005-0000-0000-000091230000}"/>
    <cellStyle name="40% - Accent3 6 16 3 2" xfId="12489" xr:uid="{00000000-0005-0000-0000-000092230000}"/>
    <cellStyle name="40% - Accent3 6 16 4" xfId="12490" xr:uid="{00000000-0005-0000-0000-000093230000}"/>
    <cellStyle name="40% - Accent3 6 17" xfId="12491" xr:uid="{00000000-0005-0000-0000-000094230000}"/>
    <cellStyle name="40% - Accent3 6 17 2" xfId="12492" xr:uid="{00000000-0005-0000-0000-000095230000}"/>
    <cellStyle name="40% - Accent3 6 18" xfId="12493" xr:uid="{00000000-0005-0000-0000-000096230000}"/>
    <cellStyle name="40% - Accent3 6 18 2" xfId="12494" xr:uid="{00000000-0005-0000-0000-000097230000}"/>
    <cellStyle name="40% - Accent3 6 19" xfId="12495" xr:uid="{00000000-0005-0000-0000-000098230000}"/>
    <cellStyle name="40% - Accent3 6 2" xfId="1977" xr:uid="{00000000-0005-0000-0000-000099230000}"/>
    <cellStyle name="40% - Accent3 6 2 2" xfId="4557" xr:uid="{00000000-0005-0000-0000-00009A230000}"/>
    <cellStyle name="40% - Accent3 6 2 2 2" xfId="12498" xr:uid="{00000000-0005-0000-0000-00009B230000}"/>
    <cellStyle name="40% - Accent3 6 2 2 3" xfId="12497" xr:uid="{00000000-0005-0000-0000-00009C230000}"/>
    <cellStyle name="40% - Accent3 6 2 3" xfId="12499" xr:uid="{00000000-0005-0000-0000-00009D230000}"/>
    <cellStyle name="40% - Accent3 6 2 3 2" xfId="12500" xr:uid="{00000000-0005-0000-0000-00009E230000}"/>
    <cellStyle name="40% - Accent3 6 2 4" xfId="12501" xr:uid="{00000000-0005-0000-0000-00009F230000}"/>
    <cellStyle name="40% - Accent3 6 2 4 2" xfId="12502" xr:uid="{00000000-0005-0000-0000-0000A0230000}"/>
    <cellStyle name="40% - Accent3 6 2 5" xfId="12503" xr:uid="{00000000-0005-0000-0000-0000A1230000}"/>
    <cellStyle name="40% - Accent3 6 2 5 2" xfId="12504" xr:uid="{00000000-0005-0000-0000-0000A2230000}"/>
    <cellStyle name="40% - Accent3 6 2 6" xfId="12505" xr:uid="{00000000-0005-0000-0000-0000A3230000}"/>
    <cellStyle name="40% - Accent3 6 2 7" xfId="12496" xr:uid="{00000000-0005-0000-0000-0000A4230000}"/>
    <cellStyle name="40% - Accent3 6 20" xfId="12460" xr:uid="{00000000-0005-0000-0000-0000A5230000}"/>
    <cellStyle name="40% - Accent3 6 21" xfId="24839" xr:uid="{00000000-0005-0000-0000-0000A6230000}"/>
    <cellStyle name="40% - Accent3 6 22" xfId="26405" xr:uid="{00000000-0005-0000-0000-0000A7230000}"/>
    <cellStyle name="40% - Accent3 6 3" xfId="2352" xr:uid="{00000000-0005-0000-0000-0000A8230000}"/>
    <cellStyle name="40% - Accent3 6 3 2" xfId="4558" xr:uid="{00000000-0005-0000-0000-0000A9230000}"/>
    <cellStyle name="40% - Accent3 6 3 2 2" xfId="12508" xr:uid="{00000000-0005-0000-0000-0000AA230000}"/>
    <cellStyle name="40% - Accent3 6 3 2 3" xfId="12507" xr:uid="{00000000-0005-0000-0000-0000AB230000}"/>
    <cellStyle name="40% - Accent3 6 3 3" xfId="12509" xr:uid="{00000000-0005-0000-0000-0000AC230000}"/>
    <cellStyle name="40% - Accent3 6 3 3 2" xfId="12510" xr:uid="{00000000-0005-0000-0000-0000AD230000}"/>
    <cellStyle name="40% - Accent3 6 3 4" xfId="12511" xr:uid="{00000000-0005-0000-0000-0000AE230000}"/>
    <cellStyle name="40% - Accent3 6 3 4 2" xfId="12512" xr:uid="{00000000-0005-0000-0000-0000AF230000}"/>
    <cellStyle name="40% - Accent3 6 3 5" xfId="12513" xr:uid="{00000000-0005-0000-0000-0000B0230000}"/>
    <cellStyle name="40% - Accent3 6 3 5 2" xfId="12514" xr:uid="{00000000-0005-0000-0000-0000B1230000}"/>
    <cellStyle name="40% - Accent3 6 3 6" xfId="12515" xr:uid="{00000000-0005-0000-0000-0000B2230000}"/>
    <cellStyle name="40% - Accent3 6 3 7" xfId="12506" xr:uid="{00000000-0005-0000-0000-0000B3230000}"/>
    <cellStyle name="40% - Accent3 6 4" xfId="2725" xr:uid="{00000000-0005-0000-0000-0000B4230000}"/>
    <cellStyle name="40% - Accent3 6 4 2" xfId="4559" xr:uid="{00000000-0005-0000-0000-0000B5230000}"/>
    <cellStyle name="40% - Accent3 6 4 2 2" xfId="12518" xr:uid="{00000000-0005-0000-0000-0000B6230000}"/>
    <cellStyle name="40% - Accent3 6 4 2 3" xfId="12517" xr:uid="{00000000-0005-0000-0000-0000B7230000}"/>
    <cellStyle name="40% - Accent3 6 4 3" xfId="12519" xr:uid="{00000000-0005-0000-0000-0000B8230000}"/>
    <cellStyle name="40% - Accent3 6 4 3 2" xfId="12520" xr:uid="{00000000-0005-0000-0000-0000B9230000}"/>
    <cellStyle name="40% - Accent3 6 4 4" xfId="12521" xr:uid="{00000000-0005-0000-0000-0000BA230000}"/>
    <cellStyle name="40% - Accent3 6 4 4 2" xfId="12522" xr:uid="{00000000-0005-0000-0000-0000BB230000}"/>
    <cellStyle name="40% - Accent3 6 4 5" xfId="12523" xr:uid="{00000000-0005-0000-0000-0000BC230000}"/>
    <cellStyle name="40% - Accent3 6 4 5 2" xfId="12524" xr:uid="{00000000-0005-0000-0000-0000BD230000}"/>
    <cellStyle name="40% - Accent3 6 4 6" xfId="12525" xr:uid="{00000000-0005-0000-0000-0000BE230000}"/>
    <cellStyle name="40% - Accent3 6 4 7" xfId="12516" xr:uid="{00000000-0005-0000-0000-0000BF230000}"/>
    <cellStyle name="40% - Accent3 6 5" xfId="3098" xr:uid="{00000000-0005-0000-0000-0000C0230000}"/>
    <cellStyle name="40% - Accent3 6 5 2" xfId="4560" xr:uid="{00000000-0005-0000-0000-0000C1230000}"/>
    <cellStyle name="40% - Accent3 6 5 2 2" xfId="12528" xr:uid="{00000000-0005-0000-0000-0000C2230000}"/>
    <cellStyle name="40% - Accent3 6 5 2 3" xfId="12527" xr:uid="{00000000-0005-0000-0000-0000C3230000}"/>
    <cellStyle name="40% - Accent3 6 5 3" xfId="12529" xr:uid="{00000000-0005-0000-0000-0000C4230000}"/>
    <cellStyle name="40% - Accent3 6 5 3 2" xfId="12530" xr:uid="{00000000-0005-0000-0000-0000C5230000}"/>
    <cellStyle name="40% - Accent3 6 5 4" xfId="12531" xr:uid="{00000000-0005-0000-0000-0000C6230000}"/>
    <cellStyle name="40% - Accent3 6 5 4 2" xfId="12532" xr:uid="{00000000-0005-0000-0000-0000C7230000}"/>
    <cellStyle name="40% - Accent3 6 5 5" xfId="12533" xr:uid="{00000000-0005-0000-0000-0000C8230000}"/>
    <cellStyle name="40% - Accent3 6 5 5 2" xfId="12534" xr:uid="{00000000-0005-0000-0000-0000C9230000}"/>
    <cellStyle name="40% - Accent3 6 5 6" xfId="12535" xr:uid="{00000000-0005-0000-0000-0000CA230000}"/>
    <cellStyle name="40% - Accent3 6 5 7" xfId="12526" xr:uid="{00000000-0005-0000-0000-0000CB230000}"/>
    <cellStyle name="40% - Accent3 6 6" xfId="3469" xr:uid="{00000000-0005-0000-0000-0000CC230000}"/>
    <cellStyle name="40% - Accent3 6 6 2" xfId="4561" xr:uid="{00000000-0005-0000-0000-0000CD230000}"/>
    <cellStyle name="40% - Accent3 6 6 2 2" xfId="12538" xr:uid="{00000000-0005-0000-0000-0000CE230000}"/>
    <cellStyle name="40% - Accent3 6 6 2 3" xfId="12537" xr:uid="{00000000-0005-0000-0000-0000CF230000}"/>
    <cellStyle name="40% - Accent3 6 6 3" xfId="12539" xr:uid="{00000000-0005-0000-0000-0000D0230000}"/>
    <cellStyle name="40% - Accent3 6 6 3 2" xfId="12540" xr:uid="{00000000-0005-0000-0000-0000D1230000}"/>
    <cellStyle name="40% - Accent3 6 6 4" xfId="12541" xr:uid="{00000000-0005-0000-0000-0000D2230000}"/>
    <cellStyle name="40% - Accent3 6 6 4 2" xfId="12542" xr:uid="{00000000-0005-0000-0000-0000D3230000}"/>
    <cellStyle name="40% - Accent3 6 6 5" xfId="12543" xr:uid="{00000000-0005-0000-0000-0000D4230000}"/>
    <cellStyle name="40% - Accent3 6 6 5 2" xfId="12544" xr:uid="{00000000-0005-0000-0000-0000D5230000}"/>
    <cellStyle name="40% - Accent3 6 6 6" xfId="12545" xr:uid="{00000000-0005-0000-0000-0000D6230000}"/>
    <cellStyle name="40% - Accent3 6 6 7" xfId="12536" xr:uid="{00000000-0005-0000-0000-0000D7230000}"/>
    <cellStyle name="40% - Accent3 6 7" xfId="3775" xr:uid="{00000000-0005-0000-0000-0000D8230000}"/>
    <cellStyle name="40% - Accent3 6 7 2" xfId="4562" xr:uid="{00000000-0005-0000-0000-0000D9230000}"/>
    <cellStyle name="40% - Accent3 6 7 2 2" xfId="12548" xr:uid="{00000000-0005-0000-0000-0000DA230000}"/>
    <cellStyle name="40% - Accent3 6 7 2 3" xfId="12547" xr:uid="{00000000-0005-0000-0000-0000DB230000}"/>
    <cellStyle name="40% - Accent3 6 7 3" xfId="12549" xr:uid="{00000000-0005-0000-0000-0000DC230000}"/>
    <cellStyle name="40% - Accent3 6 7 3 2" xfId="12550" xr:uid="{00000000-0005-0000-0000-0000DD230000}"/>
    <cellStyle name="40% - Accent3 6 7 4" xfId="12551" xr:uid="{00000000-0005-0000-0000-0000DE230000}"/>
    <cellStyle name="40% - Accent3 6 7 4 2" xfId="12552" xr:uid="{00000000-0005-0000-0000-0000DF230000}"/>
    <cellStyle name="40% - Accent3 6 7 5" xfId="12553" xr:uid="{00000000-0005-0000-0000-0000E0230000}"/>
    <cellStyle name="40% - Accent3 6 7 5 2" xfId="12554" xr:uid="{00000000-0005-0000-0000-0000E1230000}"/>
    <cellStyle name="40% - Accent3 6 7 6" xfId="12555" xr:uid="{00000000-0005-0000-0000-0000E2230000}"/>
    <cellStyle name="40% - Accent3 6 7 7" xfId="12546" xr:uid="{00000000-0005-0000-0000-0000E3230000}"/>
    <cellStyle name="40% - Accent3 6 8" xfId="1359" xr:uid="{00000000-0005-0000-0000-0000E4230000}"/>
    <cellStyle name="40% - Accent3 6 8 10" xfId="24891" xr:uid="{00000000-0005-0000-0000-0000E5230000}"/>
    <cellStyle name="40% - Accent3 6 8 11" xfId="26413" xr:uid="{00000000-0005-0000-0000-0000E6230000}"/>
    <cellStyle name="40% - Accent3 6 8 2" xfId="4159" xr:uid="{00000000-0005-0000-0000-0000E7230000}"/>
    <cellStyle name="40% - Accent3 6 8 2 2" xfId="5406" xr:uid="{00000000-0005-0000-0000-0000E8230000}"/>
    <cellStyle name="40% - Accent3 6 8 2 2 2" xfId="6330" xr:uid="{00000000-0005-0000-0000-0000E9230000}"/>
    <cellStyle name="40% - Accent3 6 8 2 2 2 2" xfId="12559" xr:uid="{00000000-0005-0000-0000-0000EA230000}"/>
    <cellStyle name="40% - Accent3 6 8 2 2 2 3" xfId="26416" xr:uid="{00000000-0005-0000-0000-0000EB230000}"/>
    <cellStyle name="40% - Accent3 6 8 2 2 3" xfId="12558" xr:uid="{00000000-0005-0000-0000-0000EC230000}"/>
    <cellStyle name="40% - Accent3 6 8 2 2 4" xfId="26415" xr:uid="{00000000-0005-0000-0000-0000ED230000}"/>
    <cellStyle name="40% - Accent3 6 8 2 3" xfId="5716" xr:uid="{00000000-0005-0000-0000-0000EE230000}"/>
    <cellStyle name="40% - Accent3 6 8 2 3 2" xfId="6331" xr:uid="{00000000-0005-0000-0000-0000EF230000}"/>
    <cellStyle name="40% - Accent3 6 8 2 3 2 2" xfId="26418" xr:uid="{00000000-0005-0000-0000-0000F0230000}"/>
    <cellStyle name="40% - Accent3 6 8 2 3 3" xfId="12560" xr:uid="{00000000-0005-0000-0000-0000F1230000}"/>
    <cellStyle name="40% - Accent3 6 8 2 3 4" xfId="26417" xr:uid="{00000000-0005-0000-0000-0000F2230000}"/>
    <cellStyle name="40% - Accent3 6 8 2 4" xfId="4564" xr:uid="{00000000-0005-0000-0000-0000F3230000}"/>
    <cellStyle name="40% - Accent3 6 8 2 4 2" xfId="6332" xr:uid="{00000000-0005-0000-0000-0000F4230000}"/>
    <cellStyle name="40% - Accent3 6 8 2 4 2 2" xfId="26420" xr:uid="{00000000-0005-0000-0000-0000F5230000}"/>
    <cellStyle name="40% - Accent3 6 8 2 4 3" xfId="26419" xr:uid="{00000000-0005-0000-0000-0000F6230000}"/>
    <cellStyle name="40% - Accent3 6 8 2 5" xfId="6329" xr:uid="{00000000-0005-0000-0000-0000F7230000}"/>
    <cellStyle name="40% - Accent3 6 8 2 5 2" xfId="26421" xr:uid="{00000000-0005-0000-0000-0000F8230000}"/>
    <cellStyle name="40% - Accent3 6 8 2 6" xfId="12557" xr:uid="{00000000-0005-0000-0000-0000F9230000}"/>
    <cellStyle name="40% - Accent3 6 8 2 7" xfId="25011" xr:uid="{00000000-0005-0000-0000-0000FA230000}"/>
    <cellStyle name="40% - Accent3 6 8 2 8" xfId="26414" xr:uid="{00000000-0005-0000-0000-0000FB230000}"/>
    <cellStyle name="40% - Accent3 6 8 3" xfId="5405" xr:uid="{00000000-0005-0000-0000-0000FC230000}"/>
    <cellStyle name="40% - Accent3 6 8 3 2" xfId="6333" xr:uid="{00000000-0005-0000-0000-0000FD230000}"/>
    <cellStyle name="40% - Accent3 6 8 3 2 2" xfId="12562" xr:uid="{00000000-0005-0000-0000-0000FE230000}"/>
    <cellStyle name="40% - Accent3 6 8 3 2 3" xfId="26423" xr:uid="{00000000-0005-0000-0000-0000FF230000}"/>
    <cellStyle name="40% - Accent3 6 8 3 3" xfId="12561" xr:uid="{00000000-0005-0000-0000-000000240000}"/>
    <cellStyle name="40% - Accent3 6 8 3 4" xfId="26422" xr:uid="{00000000-0005-0000-0000-000001240000}"/>
    <cellStyle name="40% - Accent3 6 8 4" xfId="5715" xr:uid="{00000000-0005-0000-0000-000002240000}"/>
    <cellStyle name="40% - Accent3 6 8 4 2" xfId="6334" xr:uid="{00000000-0005-0000-0000-000003240000}"/>
    <cellStyle name="40% - Accent3 6 8 4 2 2" xfId="12564" xr:uid="{00000000-0005-0000-0000-000004240000}"/>
    <cellStyle name="40% - Accent3 6 8 4 2 3" xfId="26425" xr:uid="{00000000-0005-0000-0000-000005240000}"/>
    <cellStyle name="40% - Accent3 6 8 4 3" xfId="12563" xr:uid="{00000000-0005-0000-0000-000006240000}"/>
    <cellStyle name="40% - Accent3 6 8 4 4" xfId="26424" xr:uid="{00000000-0005-0000-0000-000007240000}"/>
    <cellStyle name="40% - Accent3 6 8 5" xfId="4563" xr:uid="{00000000-0005-0000-0000-000008240000}"/>
    <cellStyle name="40% - Accent3 6 8 5 2" xfId="6335" xr:uid="{00000000-0005-0000-0000-000009240000}"/>
    <cellStyle name="40% - Accent3 6 8 5 2 2" xfId="12567" xr:uid="{00000000-0005-0000-0000-00000A240000}"/>
    <cellStyle name="40% - Accent3 6 8 5 2 3" xfId="12566" xr:uid="{00000000-0005-0000-0000-00000B240000}"/>
    <cellStyle name="40% - Accent3 6 8 5 2 4" xfId="26427" xr:uid="{00000000-0005-0000-0000-00000C240000}"/>
    <cellStyle name="40% - Accent3 6 8 5 3" xfId="12568" xr:uid="{00000000-0005-0000-0000-00000D240000}"/>
    <cellStyle name="40% - Accent3 6 8 5 3 2" xfId="12569" xr:uid="{00000000-0005-0000-0000-00000E240000}"/>
    <cellStyle name="40% - Accent3 6 8 5 4" xfId="12570" xr:uid="{00000000-0005-0000-0000-00000F240000}"/>
    <cellStyle name="40% - Accent3 6 8 5 5" xfId="12565" xr:uid="{00000000-0005-0000-0000-000010240000}"/>
    <cellStyle name="40% - Accent3 6 8 5 6" xfId="26426" xr:uid="{00000000-0005-0000-0000-000011240000}"/>
    <cellStyle name="40% - Accent3 6 8 6" xfId="6328" xr:uid="{00000000-0005-0000-0000-000012240000}"/>
    <cellStyle name="40% - Accent3 6 8 6 2" xfId="12572" xr:uid="{00000000-0005-0000-0000-000013240000}"/>
    <cellStyle name="40% - Accent3 6 8 6 3" xfId="12571" xr:uid="{00000000-0005-0000-0000-000014240000}"/>
    <cellStyle name="40% - Accent3 6 8 6 4" xfId="26428" xr:uid="{00000000-0005-0000-0000-000015240000}"/>
    <cellStyle name="40% - Accent3 6 8 7" xfId="12573" xr:uid="{00000000-0005-0000-0000-000016240000}"/>
    <cellStyle name="40% - Accent3 6 8 7 2" xfId="12574" xr:uid="{00000000-0005-0000-0000-000017240000}"/>
    <cellStyle name="40% - Accent3 6 8 8" xfId="12575" xr:uid="{00000000-0005-0000-0000-000018240000}"/>
    <cellStyle name="40% - Accent3 6 8 9" xfId="12556" xr:uid="{00000000-0005-0000-0000-000019240000}"/>
    <cellStyle name="40% - Accent3 6 9" xfId="3825" xr:uid="{00000000-0005-0000-0000-00001A240000}"/>
    <cellStyle name="40% - Accent3 6 9 2" xfId="5407" xr:uid="{00000000-0005-0000-0000-00001B240000}"/>
    <cellStyle name="40% - Accent3 6 9 2 2" xfId="6337" xr:uid="{00000000-0005-0000-0000-00001C240000}"/>
    <cellStyle name="40% - Accent3 6 9 2 2 2" xfId="12578" xr:uid="{00000000-0005-0000-0000-00001D240000}"/>
    <cellStyle name="40% - Accent3 6 9 2 2 3" xfId="26431" xr:uid="{00000000-0005-0000-0000-00001E240000}"/>
    <cellStyle name="40% - Accent3 6 9 2 3" xfId="12577" xr:uid="{00000000-0005-0000-0000-00001F240000}"/>
    <cellStyle name="40% - Accent3 6 9 2 4" xfId="26430" xr:uid="{00000000-0005-0000-0000-000020240000}"/>
    <cellStyle name="40% - Accent3 6 9 3" xfId="5717" xr:uid="{00000000-0005-0000-0000-000021240000}"/>
    <cellStyle name="40% - Accent3 6 9 3 2" xfId="6338" xr:uid="{00000000-0005-0000-0000-000022240000}"/>
    <cellStyle name="40% - Accent3 6 9 3 2 2" xfId="12580" xr:uid="{00000000-0005-0000-0000-000023240000}"/>
    <cellStyle name="40% - Accent3 6 9 3 2 3" xfId="26433" xr:uid="{00000000-0005-0000-0000-000024240000}"/>
    <cellStyle name="40% - Accent3 6 9 3 3" xfId="12579" xr:uid="{00000000-0005-0000-0000-000025240000}"/>
    <cellStyle name="40% - Accent3 6 9 3 4" xfId="26432" xr:uid="{00000000-0005-0000-0000-000026240000}"/>
    <cellStyle name="40% - Accent3 6 9 4" xfId="4565" xr:uid="{00000000-0005-0000-0000-000027240000}"/>
    <cellStyle name="40% - Accent3 6 9 4 2" xfId="6339" xr:uid="{00000000-0005-0000-0000-000028240000}"/>
    <cellStyle name="40% - Accent3 6 9 4 2 2" xfId="12582" xr:uid="{00000000-0005-0000-0000-000029240000}"/>
    <cellStyle name="40% - Accent3 6 9 4 2 3" xfId="26435" xr:uid="{00000000-0005-0000-0000-00002A240000}"/>
    <cellStyle name="40% - Accent3 6 9 4 3" xfId="12581" xr:uid="{00000000-0005-0000-0000-00002B240000}"/>
    <cellStyle name="40% - Accent3 6 9 4 4" xfId="26434" xr:uid="{00000000-0005-0000-0000-00002C240000}"/>
    <cellStyle name="40% - Accent3 6 9 5" xfId="6336" xr:uid="{00000000-0005-0000-0000-00002D240000}"/>
    <cellStyle name="40% - Accent3 6 9 5 2" xfId="12583" xr:uid="{00000000-0005-0000-0000-00002E240000}"/>
    <cellStyle name="40% - Accent3 6 9 5 3" xfId="26436" xr:uid="{00000000-0005-0000-0000-00002F240000}"/>
    <cellStyle name="40% - Accent3 6 9 6" xfId="12576" xr:uid="{00000000-0005-0000-0000-000030240000}"/>
    <cellStyle name="40% - Accent3 6 9 7" xfId="24961" xr:uid="{00000000-0005-0000-0000-000031240000}"/>
    <cellStyle name="40% - Accent3 6 9 8" xfId="26429" xr:uid="{00000000-0005-0000-0000-000032240000}"/>
    <cellStyle name="40% - Accent3 7" xfId="393" xr:uid="{00000000-0005-0000-0000-000033240000}"/>
    <cellStyle name="40% - Accent3 7 10" xfId="12585" xr:uid="{00000000-0005-0000-0000-000034240000}"/>
    <cellStyle name="40% - Accent3 7 10 2" xfId="12586" xr:uid="{00000000-0005-0000-0000-000035240000}"/>
    <cellStyle name="40% - Accent3 7 10 2 2" xfId="12587" xr:uid="{00000000-0005-0000-0000-000036240000}"/>
    <cellStyle name="40% - Accent3 7 10 3" xfId="12588" xr:uid="{00000000-0005-0000-0000-000037240000}"/>
    <cellStyle name="40% - Accent3 7 10 3 2" xfId="12589" xr:uid="{00000000-0005-0000-0000-000038240000}"/>
    <cellStyle name="40% - Accent3 7 10 4" xfId="12590" xr:uid="{00000000-0005-0000-0000-000039240000}"/>
    <cellStyle name="40% - Accent3 7 11" xfId="12591" xr:uid="{00000000-0005-0000-0000-00003A240000}"/>
    <cellStyle name="40% - Accent3 7 11 2" xfId="12592" xr:uid="{00000000-0005-0000-0000-00003B240000}"/>
    <cellStyle name="40% - Accent3 7 11 2 2" xfId="12593" xr:uid="{00000000-0005-0000-0000-00003C240000}"/>
    <cellStyle name="40% - Accent3 7 11 3" xfId="12594" xr:uid="{00000000-0005-0000-0000-00003D240000}"/>
    <cellStyle name="40% - Accent3 7 11 3 2" xfId="12595" xr:uid="{00000000-0005-0000-0000-00003E240000}"/>
    <cellStyle name="40% - Accent3 7 11 4" xfId="12596" xr:uid="{00000000-0005-0000-0000-00003F240000}"/>
    <cellStyle name="40% - Accent3 7 12" xfId="12597" xr:uid="{00000000-0005-0000-0000-000040240000}"/>
    <cellStyle name="40% - Accent3 7 12 2" xfId="12598" xr:uid="{00000000-0005-0000-0000-000041240000}"/>
    <cellStyle name="40% - Accent3 7 12 2 2" xfId="12599" xr:uid="{00000000-0005-0000-0000-000042240000}"/>
    <cellStyle name="40% - Accent3 7 12 3" xfId="12600" xr:uid="{00000000-0005-0000-0000-000043240000}"/>
    <cellStyle name="40% - Accent3 7 12 3 2" xfId="12601" xr:uid="{00000000-0005-0000-0000-000044240000}"/>
    <cellStyle name="40% - Accent3 7 12 4" xfId="12602" xr:uid="{00000000-0005-0000-0000-000045240000}"/>
    <cellStyle name="40% - Accent3 7 13" xfId="12603" xr:uid="{00000000-0005-0000-0000-000046240000}"/>
    <cellStyle name="40% - Accent3 7 13 2" xfId="12604" xr:uid="{00000000-0005-0000-0000-000047240000}"/>
    <cellStyle name="40% - Accent3 7 14" xfId="12605" xr:uid="{00000000-0005-0000-0000-000048240000}"/>
    <cellStyle name="40% - Accent3 7 14 2" xfId="12606" xr:uid="{00000000-0005-0000-0000-000049240000}"/>
    <cellStyle name="40% - Accent3 7 15" xfId="12607" xr:uid="{00000000-0005-0000-0000-00004A240000}"/>
    <cellStyle name="40% - Accent3 7 15 2" xfId="12608" xr:uid="{00000000-0005-0000-0000-00004B240000}"/>
    <cellStyle name="40% - Accent3 7 16" xfId="12609" xr:uid="{00000000-0005-0000-0000-00004C240000}"/>
    <cellStyle name="40% - Accent3 7 16 2" xfId="12610" xr:uid="{00000000-0005-0000-0000-00004D240000}"/>
    <cellStyle name="40% - Accent3 7 17" xfId="12611" xr:uid="{00000000-0005-0000-0000-00004E240000}"/>
    <cellStyle name="40% - Accent3 7 18" xfId="12584" xr:uid="{00000000-0005-0000-0000-00004F240000}"/>
    <cellStyle name="40% - Accent3 7 2" xfId="4566" xr:uid="{00000000-0005-0000-0000-000050240000}"/>
    <cellStyle name="40% - Accent3 7 2 2" xfId="12613" xr:uid="{00000000-0005-0000-0000-000051240000}"/>
    <cellStyle name="40% - Accent3 7 2 2 2" xfId="12614" xr:uid="{00000000-0005-0000-0000-000052240000}"/>
    <cellStyle name="40% - Accent3 7 2 3" xfId="12615" xr:uid="{00000000-0005-0000-0000-000053240000}"/>
    <cellStyle name="40% - Accent3 7 2 3 2" xfId="12616" xr:uid="{00000000-0005-0000-0000-000054240000}"/>
    <cellStyle name="40% - Accent3 7 2 4" xfId="12617" xr:uid="{00000000-0005-0000-0000-000055240000}"/>
    <cellStyle name="40% - Accent3 7 2 5" xfId="12612" xr:uid="{00000000-0005-0000-0000-000056240000}"/>
    <cellStyle name="40% - Accent3 7 3" xfId="12618" xr:uid="{00000000-0005-0000-0000-000057240000}"/>
    <cellStyle name="40% - Accent3 7 3 2" xfId="12619" xr:uid="{00000000-0005-0000-0000-000058240000}"/>
    <cellStyle name="40% - Accent3 7 3 2 2" xfId="12620" xr:uid="{00000000-0005-0000-0000-000059240000}"/>
    <cellStyle name="40% - Accent3 7 3 3" xfId="12621" xr:uid="{00000000-0005-0000-0000-00005A240000}"/>
    <cellStyle name="40% - Accent3 7 3 3 2" xfId="12622" xr:uid="{00000000-0005-0000-0000-00005B240000}"/>
    <cellStyle name="40% - Accent3 7 3 4" xfId="12623" xr:uid="{00000000-0005-0000-0000-00005C240000}"/>
    <cellStyle name="40% - Accent3 7 4" xfId="12624" xr:uid="{00000000-0005-0000-0000-00005D240000}"/>
    <cellStyle name="40% - Accent3 7 4 2" xfId="12625" xr:uid="{00000000-0005-0000-0000-00005E240000}"/>
    <cellStyle name="40% - Accent3 7 4 2 2" xfId="12626" xr:uid="{00000000-0005-0000-0000-00005F240000}"/>
    <cellStyle name="40% - Accent3 7 4 3" xfId="12627" xr:uid="{00000000-0005-0000-0000-000060240000}"/>
    <cellStyle name="40% - Accent3 7 4 3 2" xfId="12628" xr:uid="{00000000-0005-0000-0000-000061240000}"/>
    <cellStyle name="40% - Accent3 7 4 4" xfId="12629" xr:uid="{00000000-0005-0000-0000-000062240000}"/>
    <cellStyle name="40% - Accent3 7 5" xfId="12630" xr:uid="{00000000-0005-0000-0000-000063240000}"/>
    <cellStyle name="40% - Accent3 7 5 2" xfId="12631" xr:uid="{00000000-0005-0000-0000-000064240000}"/>
    <cellStyle name="40% - Accent3 7 5 2 2" xfId="12632" xr:uid="{00000000-0005-0000-0000-000065240000}"/>
    <cellStyle name="40% - Accent3 7 5 3" xfId="12633" xr:uid="{00000000-0005-0000-0000-000066240000}"/>
    <cellStyle name="40% - Accent3 7 5 3 2" xfId="12634" xr:uid="{00000000-0005-0000-0000-000067240000}"/>
    <cellStyle name="40% - Accent3 7 5 4" xfId="12635" xr:uid="{00000000-0005-0000-0000-000068240000}"/>
    <cellStyle name="40% - Accent3 7 6" xfId="12636" xr:uid="{00000000-0005-0000-0000-000069240000}"/>
    <cellStyle name="40% - Accent3 7 6 2" xfId="12637" xr:uid="{00000000-0005-0000-0000-00006A240000}"/>
    <cellStyle name="40% - Accent3 7 6 2 2" xfId="12638" xr:uid="{00000000-0005-0000-0000-00006B240000}"/>
    <cellStyle name="40% - Accent3 7 6 3" xfId="12639" xr:uid="{00000000-0005-0000-0000-00006C240000}"/>
    <cellStyle name="40% - Accent3 7 6 3 2" xfId="12640" xr:uid="{00000000-0005-0000-0000-00006D240000}"/>
    <cellStyle name="40% - Accent3 7 6 4" xfId="12641" xr:uid="{00000000-0005-0000-0000-00006E240000}"/>
    <cellStyle name="40% - Accent3 7 7" xfId="12642" xr:uid="{00000000-0005-0000-0000-00006F240000}"/>
    <cellStyle name="40% - Accent3 7 7 2" xfId="12643" xr:uid="{00000000-0005-0000-0000-000070240000}"/>
    <cellStyle name="40% - Accent3 7 7 2 2" xfId="12644" xr:uid="{00000000-0005-0000-0000-000071240000}"/>
    <cellStyle name="40% - Accent3 7 7 3" xfId="12645" xr:uid="{00000000-0005-0000-0000-000072240000}"/>
    <cellStyle name="40% - Accent3 7 7 3 2" xfId="12646" xr:uid="{00000000-0005-0000-0000-000073240000}"/>
    <cellStyle name="40% - Accent3 7 7 4" xfId="12647" xr:uid="{00000000-0005-0000-0000-000074240000}"/>
    <cellStyle name="40% - Accent3 7 8" xfId="12648" xr:uid="{00000000-0005-0000-0000-000075240000}"/>
    <cellStyle name="40% - Accent3 7 8 2" xfId="12649" xr:uid="{00000000-0005-0000-0000-000076240000}"/>
    <cellStyle name="40% - Accent3 7 8 2 2" xfId="12650" xr:uid="{00000000-0005-0000-0000-000077240000}"/>
    <cellStyle name="40% - Accent3 7 8 3" xfId="12651" xr:uid="{00000000-0005-0000-0000-000078240000}"/>
    <cellStyle name="40% - Accent3 7 8 3 2" xfId="12652" xr:uid="{00000000-0005-0000-0000-000079240000}"/>
    <cellStyle name="40% - Accent3 7 8 4" xfId="12653" xr:uid="{00000000-0005-0000-0000-00007A240000}"/>
    <cellStyle name="40% - Accent3 7 9" xfId="12654" xr:uid="{00000000-0005-0000-0000-00007B240000}"/>
    <cellStyle name="40% - Accent3 7 9 2" xfId="12655" xr:uid="{00000000-0005-0000-0000-00007C240000}"/>
    <cellStyle name="40% - Accent3 7 9 2 2" xfId="12656" xr:uid="{00000000-0005-0000-0000-00007D240000}"/>
    <cellStyle name="40% - Accent3 7 9 3" xfId="12657" xr:uid="{00000000-0005-0000-0000-00007E240000}"/>
    <cellStyle name="40% - Accent3 7 9 3 2" xfId="12658" xr:uid="{00000000-0005-0000-0000-00007F240000}"/>
    <cellStyle name="40% - Accent3 7 9 4" xfId="12659" xr:uid="{00000000-0005-0000-0000-000080240000}"/>
    <cellStyle name="40% - Accent3 8" xfId="544" xr:uid="{00000000-0005-0000-0000-000081240000}"/>
    <cellStyle name="40% - Accent3 8 10" xfId="12660" xr:uid="{00000000-0005-0000-0000-000082240000}"/>
    <cellStyle name="40% - Accent3 8 11" xfId="24853" xr:uid="{00000000-0005-0000-0000-000083240000}"/>
    <cellStyle name="40% - Accent3 8 12" xfId="26437" xr:uid="{00000000-0005-0000-0000-000084240000}"/>
    <cellStyle name="40% - Accent3 8 2" xfId="1377" xr:uid="{00000000-0005-0000-0000-000085240000}"/>
    <cellStyle name="40% - Accent3 8 2 10" xfId="24909" xr:uid="{00000000-0005-0000-0000-000086240000}"/>
    <cellStyle name="40% - Accent3 8 2 11" xfId="26438" xr:uid="{00000000-0005-0000-0000-000087240000}"/>
    <cellStyle name="40% - Accent3 8 2 2" xfId="4177" xr:uid="{00000000-0005-0000-0000-000088240000}"/>
    <cellStyle name="40% - Accent3 8 2 2 2" xfId="5410" xr:uid="{00000000-0005-0000-0000-000089240000}"/>
    <cellStyle name="40% - Accent3 8 2 2 2 2" xfId="6343" xr:uid="{00000000-0005-0000-0000-00008A240000}"/>
    <cellStyle name="40% - Accent3 8 2 2 2 2 2" xfId="12664" xr:uid="{00000000-0005-0000-0000-00008B240000}"/>
    <cellStyle name="40% - Accent3 8 2 2 2 2 3" xfId="26441" xr:uid="{00000000-0005-0000-0000-00008C240000}"/>
    <cellStyle name="40% - Accent3 8 2 2 2 3" xfId="12663" xr:uid="{00000000-0005-0000-0000-00008D240000}"/>
    <cellStyle name="40% - Accent3 8 2 2 2 4" xfId="26440" xr:uid="{00000000-0005-0000-0000-00008E240000}"/>
    <cellStyle name="40% - Accent3 8 2 2 3" xfId="5720" xr:uid="{00000000-0005-0000-0000-00008F240000}"/>
    <cellStyle name="40% - Accent3 8 2 2 3 2" xfId="6344" xr:uid="{00000000-0005-0000-0000-000090240000}"/>
    <cellStyle name="40% - Accent3 8 2 2 3 2 2" xfId="26443" xr:uid="{00000000-0005-0000-0000-000091240000}"/>
    <cellStyle name="40% - Accent3 8 2 2 3 3" xfId="12665" xr:uid="{00000000-0005-0000-0000-000092240000}"/>
    <cellStyle name="40% - Accent3 8 2 2 3 4" xfId="26442" xr:uid="{00000000-0005-0000-0000-000093240000}"/>
    <cellStyle name="40% - Accent3 8 2 2 4" xfId="4569" xr:uid="{00000000-0005-0000-0000-000094240000}"/>
    <cellStyle name="40% - Accent3 8 2 2 4 2" xfId="6345" xr:uid="{00000000-0005-0000-0000-000095240000}"/>
    <cellStyle name="40% - Accent3 8 2 2 4 2 2" xfId="26445" xr:uid="{00000000-0005-0000-0000-000096240000}"/>
    <cellStyle name="40% - Accent3 8 2 2 4 3" xfId="26444" xr:uid="{00000000-0005-0000-0000-000097240000}"/>
    <cellStyle name="40% - Accent3 8 2 2 5" xfId="6342" xr:uid="{00000000-0005-0000-0000-000098240000}"/>
    <cellStyle name="40% - Accent3 8 2 2 5 2" xfId="26446" xr:uid="{00000000-0005-0000-0000-000099240000}"/>
    <cellStyle name="40% - Accent3 8 2 2 6" xfId="12662" xr:uid="{00000000-0005-0000-0000-00009A240000}"/>
    <cellStyle name="40% - Accent3 8 2 2 7" xfId="25029" xr:uid="{00000000-0005-0000-0000-00009B240000}"/>
    <cellStyle name="40% - Accent3 8 2 2 8" xfId="26439" xr:uid="{00000000-0005-0000-0000-00009C240000}"/>
    <cellStyle name="40% - Accent3 8 2 3" xfId="5409" xr:uid="{00000000-0005-0000-0000-00009D240000}"/>
    <cellStyle name="40% - Accent3 8 2 3 2" xfId="6346" xr:uid="{00000000-0005-0000-0000-00009E240000}"/>
    <cellStyle name="40% - Accent3 8 2 3 2 2" xfId="12667" xr:uid="{00000000-0005-0000-0000-00009F240000}"/>
    <cellStyle name="40% - Accent3 8 2 3 2 3" xfId="26448" xr:uid="{00000000-0005-0000-0000-0000A0240000}"/>
    <cellStyle name="40% - Accent3 8 2 3 3" xfId="12666" xr:uid="{00000000-0005-0000-0000-0000A1240000}"/>
    <cellStyle name="40% - Accent3 8 2 3 4" xfId="26447" xr:uid="{00000000-0005-0000-0000-0000A2240000}"/>
    <cellStyle name="40% - Accent3 8 2 4" xfId="5719" xr:uid="{00000000-0005-0000-0000-0000A3240000}"/>
    <cellStyle name="40% - Accent3 8 2 4 2" xfId="6347" xr:uid="{00000000-0005-0000-0000-0000A4240000}"/>
    <cellStyle name="40% - Accent3 8 2 4 2 2" xfId="12669" xr:uid="{00000000-0005-0000-0000-0000A5240000}"/>
    <cellStyle name="40% - Accent3 8 2 4 2 3" xfId="26450" xr:uid="{00000000-0005-0000-0000-0000A6240000}"/>
    <cellStyle name="40% - Accent3 8 2 4 3" xfId="12668" xr:uid="{00000000-0005-0000-0000-0000A7240000}"/>
    <cellStyle name="40% - Accent3 8 2 4 4" xfId="26449" xr:uid="{00000000-0005-0000-0000-0000A8240000}"/>
    <cellStyle name="40% - Accent3 8 2 5" xfId="4568" xr:uid="{00000000-0005-0000-0000-0000A9240000}"/>
    <cellStyle name="40% - Accent3 8 2 5 2" xfId="6348" xr:uid="{00000000-0005-0000-0000-0000AA240000}"/>
    <cellStyle name="40% - Accent3 8 2 5 2 2" xfId="12672" xr:uid="{00000000-0005-0000-0000-0000AB240000}"/>
    <cellStyle name="40% - Accent3 8 2 5 2 3" xfId="12671" xr:uid="{00000000-0005-0000-0000-0000AC240000}"/>
    <cellStyle name="40% - Accent3 8 2 5 2 4" xfId="26452" xr:uid="{00000000-0005-0000-0000-0000AD240000}"/>
    <cellStyle name="40% - Accent3 8 2 5 3" xfId="12673" xr:uid="{00000000-0005-0000-0000-0000AE240000}"/>
    <cellStyle name="40% - Accent3 8 2 5 3 2" xfId="12674" xr:uid="{00000000-0005-0000-0000-0000AF240000}"/>
    <cellStyle name="40% - Accent3 8 2 5 4" xfId="12675" xr:uid="{00000000-0005-0000-0000-0000B0240000}"/>
    <cellStyle name="40% - Accent3 8 2 5 5" xfId="12670" xr:uid="{00000000-0005-0000-0000-0000B1240000}"/>
    <cellStyle name="40% - Accent3 8 2 5 6" xfId="26451" xr:uid="{00000000-0005-0000-0000-0000B2240000}"/>
    <cellStyle name="40% - Accent3 8 2 6" xfId="6341" xr:uid="{00000000-0005-0000-0000-0000B3240000}"/>
    <cellStyle name="40% - Accent3 8 2 6 2" xfId="12677" xr:uid="{00000000-0005-0000-0000-0000B4240000}"/>
    <cellStyle name="40% - Accent3 8 2 6 3" xfId="12676" xr:uid="{00000000-0005-0000-0000-0000B5240000}"/>
    <cellStyle name="40% - Accent3 8 2 6 4" xfId="26453" xr:uid="{00000000-0005-0000-0000-0000B6240000}"/>
    <cellStyle name="40% - Accent3 8 2 7" xfId="12678" xr:uid="{00000000-0005-0000-0000-0000B7240000}"/>
    <cellStyle name="40% - Accent3 8 2 7 2" xfId="12679" xr:uid="{00000000-0005-0000-0000-0000B8240000}"/>
    <cellStyle name="40% - Accent3 8 2 8" xfId="12680" xr:uid="{00000000-0005-0000-0000-0000B9240000}"/>
    <cellStyle name="40% - Accent3 8 2 9" xfId="12661" xr:uid="{00000000-0005-0000-0000-0000BA240000}"/>
    <cellStyle name="40% - Accent3 8 3" xfId="3839" xr:uid="{00000000-0005-0000-0000-0000BB240000}"/>
    <cellStyle name="40% - Accent3 8 3 2" xfId="5411" xr:uid="{00000000-0005-0000-0000-0000BC240000}"/>
    <cellStyle name="40% - Accent3 8 3 2 2" xfId="6350" xr:uid="{00000000-0005-0000-0000-0000BD240000}"/>
    <cellStyle name="40% - Accent3 8 3 2 2 2" xfId="12683" xr:uid="{00000000-0005-0000-0000-0000BE240000}"/>
    <cellStyle name="40% - Accent3 8 3 2 2 3" xfId="26456" xr:uid="{00000000-0005-0000-0000-0000BF240000}"/>
    <cellStyle name="40% - Accent3 8 3 2 3" xfId="12682" xr:uid="{00000000-0005-0000-0000-0000C0240000}"/>
    <cellStyle name="40% - Accent3 8 3 2 4" xfId="26455" xr:uid="{00000000-0005-0000-0000-0000C1240000}"/>
    <cellStyle name="40% - Accent3 8 3 3" xfId="5721" xr:uid="{00000000-0005-0000-0000-0000C2240000}"/>
    <cellStyle name="40% - Accent3 8 3 3 2" xfId="6351" xr:uid="{00000000-0005-0000-0000-0000C3240000}"/>
    <cellStyle name="40% - Accent3 8 3 3 2 2" xfId="26458" xr:uid="{00000000-0005-0000-0000-0000C4240000}"/>
    <cellStyle name="40% - Accent3 8 3 3 3" xfId="12684" xr:uid="{00000000-0005-0000-0000-0000C5240000}"/>
    <cellStyle name="40% - Accent3 8 3 3 4" xfId="26457" xr:uid="{00000000-0005-0000-0000-0000C6240000}"/>
    <cellStyle name="40% - Accent3 8 3 4" xfId="4570" xr:uid="{00000000-0005-0000-0000-0000C7240000}"/>
    <cellStyle name="40% - Accent3 8 3 4 2" xfId="6352" xr:uid="{00000000-0005-0000-0000-0000C8240000}"/>
    <cellStyle name="40% - Accent3 8 3 4 2 2" xfId="26460" xr:uid="{00000000-0005-0000-0000-0000C9240000}"/>
    <cellStyle name="40% - Accent3 8 3 4 3" xfId="26459" xr:uid="{00000000-0005-0000-0000-0000CA240000}"/>
    <cellStyle name="40% - Accent3 8 3 5" xfId="6349" xr:uid="{00000000-0005-0000-0000-0000CB240000}"/>
    <cellStyle name="40% - Accent3 8 3 5 2" xfId="26461" xr:uid="{00000000-0005-0000-0000-0000CC240000}"/>
    <cellStyle name="40% - Accent3 8 3 6" xfId="12681" xr:uid="{00000000-0005-0000-0000-0000CD240000}"/>
    <cellStyle name="40% - Accent3 8 3 7" xfId="24975" xr:uid="{00000000-0005-0000-0000-0000CE240000}"/>
    <cellStyle name="40% - Accent3 8 3 8" xfId="26454" xr:uid="{00000000-0005-0000-0000-0000CF240000}"/>
    <cellStyle name="40% - Accent3 8 4" xfId="5408" xr:uid="{00000000-0005-0000-0000-0000D0240000}"/>
    <cellStyle name="40% - Accent3 8 4 2" xfId="6353" xr:uid="{00000000-0005-0000-0000-0000D1240000}"/>
    <cellStyle name="40% - Accent3 8 4 2 2" xfId="12686" xr:uid="{00000000-0005-0000-0000-0000D2240000}"/>
    <cellStyle name="40% - Accent3 8 4 2 3" xfId="26463" xr:uid="{00000000-0005-0000-0000-0000D3240000}"/>
    <cellStyle name="40% - Accent3 8 4 3" xfId="12685" xr:uid="{00000000-0005-0000-0000-0000D4240000}"/>
    <cellStyle name="40% - Accent3 8 4 4" xfId="26462" xr:uid="{00000000-0005-0000-0000-0000D5240000}"/>
    <cellStyle name="40% - Accent3 8 5" xfId="5718" xr:uid="{00000000-0005-0000-0000-0000D6240000}"/>
    <cellStyle name="40% - Accent3 8 5 2" xfId="6354" xr:uid="{00000000-0005-0000-0000-0000D7240000}"/>
    <cellStyle name="40% - Accent3 8 5 2 2" xfId="12688" xr:uid="{00000000-0005-0000-0000-0000D8240000}"/>
    <cellStyle name="40% - Accent3 8 5 2 3" xfId="26465" xr:uid="{00000000-0005-0000-0000-0000D9240000}"/>
    <cellStyle name="40% - Accent3 8 5 3" xfId="12687" xr:uid="{00000000-0005-0000-0000-0000DA240000}"/>
    <cellStyle name="40% - Accent3 8 5 4" xfId="26464" xr:uid="{00000000-0005-0000-0000-0000DB240000}"/>
    <cellStyle name="40% - Accent3 8 6" xfId="4567" xr:uid="{00000000-0005-0000-0000-0000DC240000}"/>
    <cellStyle name="40% - Accent3 8 6 2" xfId="6355" xr:uid="{00000000-0005-0000-0000-0000DD240000}"/>
    <cellStyle name="40% - Accent3 8 6 2 2" xfId="12691" xr:uid="{00000000-0005-0000-0000-0000DE240000}"/>
    <cellStyle name="40% - Accent3 8 6 2 3" xfId="12690" xr:uid="{00000000-0005-0000-0000-0000DF240000}"/>
    <cellStyle name="40% - Accent3 8 6 2 4" xfId="26467" xr:uid="{00000000-0005-0000-0000-0000E0240000}"/>
    <cellStyle name="40% - Accent3 8 6 3" xfId="12692" xr:uid="{00000000-0005-0000-0000-0000E1240000}"/>
    <cellStyle name="40% - Accent3 8 6 3 2" xfId="12693" xr:uid="{00000000-0005-0000-0000-0000E2240000}"/>
    <cellStyle name="40% - Accent3 8 6 4" xfId="12694" xr:uid="{00000000-0005-0000-0000-0000E3240000}"/>
    <cellStyle name="40% - Accent3 8 6 5" xfId="12689" xr:uid="{00000000-0005-0000-0000-0000E4240000}"/>
    <cellStyle name="40% - Accent3 8 6 6" xfId="26466" xr:uid="{00000000-0005-0000-0000-0000E5240000}"/>
    <cellStyle name="40% - Accent3 8 7" xfId="6340" xr:uid="{00000000-0005-0000-0000-0000E6240000}"/>
    <cellStyle name="40% - Accent3 8 7 2" xfId="12696" xr:uid="{00000000-0005-0000-0000-0000E7240000}"/>
    <cellStyle name="40% - Accent3 8 7 3" xfId="12695" xr:uid="{00000000-0005-0000-0000-0000E8240000}"/>
    <cellStyle name="40% - Accent3 8 7 4" xfId="26468" xr:uid="{00000000-0005-0000-0000-0000E9240000}"/>
    <cellStyle name="40% - Accent3 8 8" xfId="12697" xr:uid="{00000000-0005-0000-0000-0000EA240000}"/>
    <cellStyle name="40% - Accent3 8 8 2" xfId="12698" xr:uid="{00000000-0005-0000-0000-0000EB240000}"/>
    <cellStyle name="40% - Accent3 8 9" xfId="12699" xr:uid="{00000000-0005-0000-0000-0000EC240000}"/>
    <cellStyle name="40% - Accent3 9" xfId="545" xr:uid="{00000000-0005-0000-0000-0000ED240000}"/>
    <cellStyle name="40% - Accent3 9 2" xfId="4571" xr:uid="{00000000-0005-0000-0000-0000EE240000}"/>
    <cellStyle name="40% - Accent3 9 2 2" xfId="12702" xr:uid="{00000000-0005-0000-0000-0000EF240000}"/>
    <cellStyle name="40% - Accent3 9 2 2 2" xfId="12703" xr:uid="{00000000-0005-0000-0000-0000F0240000}"/>
    <cellStyle name="40% - Accent3 9 2 3" xfId="12704" xr:uid="{00000000-0005-0000-0000-0000F1240000}"/>
    <cellStyle name="40% - Accent3 9 2 3 2" xfId="12705" xr:uid="{00000000-0005-0000-0000-0000F2240000}"/>
    <cellStyle name="40% - Accent3 9 2 4" xfId="12706" xr:uid="{00000000-0005-0000-0000-0000F3240000}"/>
    <cellStyle name="40% - Accent3 9 2 5" xfId="12701" xr:uid="{00000000-0005-0000-0000-0000F4240000}"/>
    <cellStyle name="40% - Accent3 9 3" xfId="12707" xr:uid="{00000000-0005-0000-0000-0000F5240000}"/>
    <cellStyle name="40% - Accent3 9 3 2" xfId="12708" xr:uid="{00000000-0005-0000-0000-0000F6240000}"/>
    <cellStyle name="40% - Accent3 9 4" xfId="12709" xr:uid="{00000000-0005-0000-0000-0000F7240000}"/>
    <cellStyle name="40% - Accent3 9 4 2" xfId="12710" xr:uid="{00000000-0005-0000-0000-0000F8240000}"/>
    <cellStyle name="40% - Accent3 9 5" xfId="12711" xr:uid="{00000000-0005-0000-0000-0000F9240000}"/>
    <cellStyle name="40% - Accent3 9 5 2" xfId="12712" xr:uid="{00000000-0005-0000-0000-0000FA240000}"/>
    <cellStyle name="40% - Accent3 9 6" xfId="12713" xr:uid="{00000000-0005-0000-0000-0000FB240000}"/>
    <cellStyle name="40% - Accent3 9 6 2" xfId="12714" xr:uid="{00000000-0005-0000-0000-0000FC240000}"/>
    <cellStyle name="40% - Accent3 9 7" xfId="12715" xr:uid="{00000000-0005-0000-0000-0000FD240000}"/>
    <cellStyle name="40% - Accent3 9 8" xfId="12700" xr:uid="{00000000-0005-0000-0000-0000FE240000}"/>
    <cellStyle name="40% - Accent4 10" xfId="676" xr:uid="{00000000-0005-0000-0000-0000FF240000}"/>
    <cellStyle name="40% - Accent4 10 2" xfId="4572" xr:uid="{00000000-0005-0000-0000-000000250000}"/>
    <cellStyle name="40% - Accent4 10 2 2" xfId="12719" xr:uid="{00000000-0005-0000-0000-000001250000}"/>
    <cellStyle name="40% - Accent4 10 2 3" xfId="12718" xr:uid="{00000000-0005-0000-0000-000002250000}"/>
    <cellStyle name="40% - Accent4 10 3" xfId="12720" xr:uid="{00000000-0005-0000-0000-000003250000}"/>
    <cellStyle name="40% - Accent4 10 3 2" xfId="12721" xr:uid="{00000000-0005-0000-0000-000004250000}"/>
    <cellStyle name="40% - Accent4 10 4" xfId="12722" xr:uid="{00000000-0005-0000-0000-000005250000}"/>
    <cellStyle name="40% - Accent4 10 4 2" xfId="12723" xr:uid="{00000000-0005-0000-0000-000006250000}"/>
    <cellStyle name="40% - Accent4 10 5" xfId="12724" xr:uid="{00000000-0005-0000-0000-000007250000}"/>
    <cellStyle name="40% - Accent4 10 5 2" xfId="12725" xr:uid="{00000000-0005-0000-0000-000008250000}"/>
    <cellStyle name="40% - Accent4 10 6" xfId="12726" xr:uid="{00000000-0005-0000-0000-000009250000}"/>
    <cellStyle name="40% - Accent4 10 7" xfId="12717" xr:uid="{00000000-0005-0000-0000-00000A250000}"/>
    <cellStyle name="40% - Accent4 11" xfId="677" xr:uid="{00000000-0005-0000-0000-00000B250000}"/>
    <cellStyle name="40% - Accent4 11 2" xfId="4573" xr:uid="{00000000-0005-0000-0000-00000C250000}"/>
    <cellStyle name="40% - Accent4 11 2 2" xfId="12729" xr:uid="{00000000-0005-0000-0000-00000D250000}"/>
    <cellStyle name="40% - Accent4 11 2 3" xfId="12728" xr:uid="{00000000-0005-0000-0000-00000E250000}"/>
    <cellStyle name="40% - Accent4 11 3" xfId="12730" xr:uid="{00000000-0005-0000-0000-00000F250000}"/>
    <cellStyle name="40% - Accent4 11 3 2" xfId="12731" xr:uid="{00000000-0005-0000-0000-000010250000}"/>
    <cellStyle name="40% - Accent4 11 4" xfId="12732" xr:uid="{00000000-0005-0000-0000-000011250000}"/>
    <cellStyle name="40% - Accent4 11 4 2" xfId="12733" xr:uid="{00000000-0005-0000-0000-000012250000}"/>
    <cellStyle name="40% - Accent4 11 5" xfId="12734" xr:uid="{00000000-0005-0000-0000-000013250000}"/>
    <cellStyle name="40% - Accent4 11 5 2" xfId="12735" xr:uid="{00000000-0005-0000-0000-000014250000}"/>
    <cellStyle name="40% - Accent4 11 6" xfId="12736" xr:uid="{00000000-0005-0000-0000-000015250000}"/>
    <cellStyle name="40% - Accent4 11 7" xfId="12727" xr:uid="{00000000-0005-0000-0000-000016250000}"/>
    <cellStyle name="40% - Accent4 12" xfId="825" xr:uid="{00000000-0005-0000-0000-000017250000}"/>
    <cellStyle name="40% - Accent4 12 2" xfId="12738" xr:uid="{00000000-0005-0000-0000-000018250000}"/>
    <cellStyle name="40% - Accent4 12 2 2" xfId="12739" xr:uid="{00000000-0005-0000-0000-000019250000}"/>
    <cellStyle name="40% - Accent4 12 3" xfId="12740" xr:uid="{00000000-0005-0000-0000-00001A250000}"/>
    <cellStyle name="40% - Accent4 12 3 2" xfId="12741" xr:uid="{00000000-0005-0000-0000-00001B250000}"/>
    <cellStyle name="40% - Accent4 12 4" xfId="12742" xr:uid="{00000000-0005-0000-0000-00001C250000}"/>
    <cellStyle name="40% - Accent4 12 5" xfId="12737" xr:uid="{00000000-0005-0000-0000-00001D250000}"/>
    <cellStyle name="40% - Accent4 13" xfId="826" xr:uid="{00000000-0005-0000-0000-00001E250000}"/>
    <cellStyle name="40% - Accent4 13 2" xfId="3854" xr:uid="{00000000-0005-0000-0000-00001F250000}"/>
    <cellStyle name="40% - Accent4 13 2 2" xfId="6357" xr:uid="{00000000-0005-0000-0000-000020250000}"/>
    <cellStyle name="40% - Accent4 13 2 2 2" xfId="12745" xr:uid="{00000000-0005-0000-0000-000021250000}"/>
    <cellStyle name="40% - Accent4 13 2 2 3" xfId="26471" xr:uid="{00000000-0005-0000-0000-000022250000}"/>
    <cellStyle name="40% - Accent4 13 2 3" xfId="12744" xr:uid="{00000000-0005-0000-0000-000023250000}"/>
    <cellStyle name="40% - Accent4 13 2 4" xfId="24990" xr:uid="{00000000-0005-0000-0000-000024250000}"/>
    <cellStyle name="40% - Accent4 13 2 5" xfId="26470" xr:uid="{00000000-0005-0000-0000-000025250000}"/>
    <cellStyle name="40% - Accent4 13 3" xfId="6356" xr:uid="{00000000-0005-0000-0000-000026250000}"/>
    <cellStyle name="40% - Accent4 13 3 2" xfId="12747" xr:uid="{00000000-0005-0000-0000-000027250000}"/>
    <cellStyle name="40% - Accent4 13 3 3" xfId="12746" xr:uid="{00000000-0005-0000-0000-000028250000}"/>
    <cellStyle name="40% - Accent4 13 3 4" xfId="26472" xr:uid="{00000000-0005-0000-0000-000029250000}"/>
    <cellStyle name="40% - Accent4 13 4" xfId="12748" xr:uid="{00000000-0005-0000-0000-00002A250000}"/>
    <cellStyle name="40% - Accent4 13 5" xfId="12743" xr:uid="{00000000-0005-0000-0000-00002B250000}"/>
    <cellStyle name="40% - Accent4 13 6" xfId="24869" xr:uid="{00000000-0005-0000-0000-00002C250000}"/>
    <cellStyle name="40% - Accent4 13 7" xfId="26469" xr:uid="{00000000-0005-0000-0000-00002D250000}"/>
    <cellStyle name="40% - Accent4 14" xfId="939" xr:uid="{00000000-0005-0000-0000-00002E250000}"/>
    <cellStyle name="40% - Accent4 14 2" xfId="12750" xr:uid="{00000000-0005-0000-0000-00002F250000}"/>
    <cellStyle name="40% - Accent4 14 2 2" xfId="12751" xr:uid="{00000000-0005-0000-0000-000030250000}"/>
    <cellStyle name="40% - Accent4 14 3" xfId="12752" xr:uid="{00000000-0005-0000-0000-000031250000}"/>
    <cellStyle name="40% - Accent4 14 3 2" xfId="12753" xr:uid="{00000000-0005-0000-0000-000032250000}"/>
    <cellStyle name="40% - Accent4 14 4" xfId="12754" xr:uid="{00000000-0005-0000-0000-000033250000}"/>
    <cellStyle name="40% - Accent4 14 5" xfId="12749" xr:uid="{00000000-0005-0000-0000-000034250000}"/>
    <cellStyle name="40% - Accent4 15" xfId="12755" xr:uid="{00000000-0005-0000-0000-000035250000}"/>
    <cellStyle name="40% - Accent4 15 2" xfId="12756" xr:uid="{00000000-0005-0000-0000-000036250000}"/>
    <cellStyle name="40% - Accent4 15 2 2" xfId="12757" xr:uid="{00000000-0005-0000-0000-000037250000}"/>
    <cellStyle name="40% - Accent4 15 3" xfId="12758" xr:uid="{00000000-0005-0000-0000-000038250000}"/>
    <cellStyle name="40% - Accent4 15 3 2" xfId="12759" xr:uid="{00000000-0005-0000-0000-000039250000}"/>
    <cellStyle name="40% - Accent4 15 4" xfId="12760" xr:uid="{00000000-0005-0000-0000-00003A250000}"/>
    <cellStyle name="40% - Accent4 16" xfId="12761" xr:uid="{00000000-0005-0000-0000-00003B250000}"/>
    <cellStyle name="40% - Accent4 16 2" xfId="12762" xr:uid="{00000000-0005-0000-0000-00003C250000}"/>
    <cellStyle name="40% - Accent4 16 2 2" xfId="12763" xr:uid="{00000000-0005-0000-0000-00003D250000}"/>
    <cellStyle name="40% - Accent4 16 3" xfId="12764" xr:uid="{00000000-0005-0000-0000-00003E250000}"/>
    <cellStyle name="40% - Accent4 16 3 2" xfId="12765" xr:uid="{00000000-0005-0000-0000-00003F250000}"/>
    <cellStyle name="40% - Accent4 16 4" xfId="12766" xr:uid="{00000000-0005-0000-0000-000040250000}"/>
    <cellStyle name="40% - Accent4 17" xfId="12767" xr:uid="{00000000-0005-0000-0000-000041250000}"/>
    <cellStyle name="40% - Accent4 17 2" xfId="12768" xr:uid="{00000000-0005-0000-0000-000042250000}"/>
    <cellStyle name="40% - Accent4 17 2 2" xfId="12769" xr:uid="{00000000-0005-0000-0000-000043250000}"/>
    <cellStyle name="40% - Accent4 17 3" xfId="12770" xr:uid="{00000000-0005-0000-0000-000044250000}"/>
    <cellStyle name="40% - Accent4 17 3 2" xfId="12771" xr:uid="{00000000-0005-0000-0000-000045250000}"/>
    <cellStyle name="40% - Accent4 17 4" xfId="12772" xr:uid="{00000000-0005-0000-0000-000046250000}"/>
    <cellStyle name="40% - Accent4 18" xfId="12773" xr:uid="{00000000-0005-0000-0000-000047250000}"/>
    <cellStyle name="40% - Accent4 18 2" xfId="12774" xr:uid="{00000000-0005-0000-0000-000048250000}"/>
    <cellStyle name="40% - Accent4 18 2 2" xfId="12775" xr:uid="{00000000-0005-0000-0000-000049250000}"/>
    <cellStyle name="40% - Accent4 18 3" xfId="12776" xr:uid="{00000000-0005-0000-0000-00004A250000}"/>
    <cellStyle name="40% - Accent4 18 3 2" xfId="12777" xr:uid="{00000000-0005-0000-0000-00004B250000}"/>
    <cellStyle name="40% - Accent4 18 4" xfId="12778" xr:uid="{00000000-0005-0000-0000-00004C250000}"/>
    <cellStyle name="40% - Accent4 19" xfId="12779" xr:uid="{00000000-0005-0000-0000-00004D250000}"/>
    <cellStyle name="40% - Accent4 19 2" xfId="12780" xr:uid="{00000000-0005-0000-0000-00004E250000}"/>
    <cellStyle name="40% - Accent4 19 2 2" xfId="12781" xr:uid="{00000000-0005-0000-0000-00004F250000}"/>
    <cellStyle name="40% - Accent4 19 3" xfId="12782" xr:uid="{00000000-0005-0000-0000-000050250000}"/>
    <cellStyle name="40% - Accent4 2" xfId="77" xr:uid="{00000000-0005-0000-0000-000051250000}"/>
    <cellStyle name="40% - Accent4 2 10" xfId="1676" xr:uid="{00000000-0005-0000-0000-000052250000}"/>
    <cellStyle name="40% - Accent4 2 10 2" xfId="4574" xr:uid="{00000000-0005-0000-0000-000053250000}"/>
    <cellStyle name="40% - Accent4 2 10 2 2" xfId="12786" xr:uid="{00000000-0005-0000-0000-000054250000}"/>
    <cellStyle name="40% - Accent4 2 10 2 3" xfId="12785" xr:uid="{00000000-0005-0000-0000-000055250000}"/>
    <cellStyle name="40% - Accent4 2 10 3" xfId="12787" xr:uid="{00000000-0005-0000-0000-000056250000}"/>
    <cellStyle name="40% - Accent4 2 10 3 2" xfId="12788" xr:uid="{00000000-0005-0000-0000-000057250000}"/>
    <cellStyle name="40% - Accent4 2 10 4" xfId="12789" xr:uid="{00000000-0005-0000-0000-000058250000}"/>
    <cellStyle name="40% - Accent4 2 10 4 2" xfId="12790" xr:uid="{00000000-0005-0000-0000-000059250000}"/>
    <cellStyle name="40% - Accent4 2 10 5" xfId="12791" xr:uid="{00000000-0005-0000-0000-00005A250000}"/>
    <cellStyle name="40% - Accent4 2 10 5 2" xfId="12792" xr:uid="{00000000-0005-0000-0000-00005B250000}"/>
    <cellStyle name="40% - Accent4 2 10 6" xfId="12793" xr:uid="{00000000-0005-0000-0000-00005C250000}"/>
    <cellStyle name="40% - Accent4 2 10 7" xfId="12784" xr:uid="{00000000-0005-0000-0000-00005D250000}"/>
    <cellStyle name="40% - Accent4 2 11" xfId="2011" xr:uid="{00000000-0005-0000-0000-00005E250000}"/>
    <cellStyle name="40% - Accent4 2 11 2" xfId="4575" xr:uid="{00000000-0005-0000-0000-00005F250000}"/>
    <cellStyle name="40% - Accent4 2 11 2 2" xfId="12796" xr:uid="{00000000-0005-0000-0000-000060250000}"/>
    <cellStyle name="40% - Accent4 2 11 2 3" xfId="12795" xr:uid="{00000000-0005-0000-0000-000061250000}"/>
    <cellStyle name="40% - Accent4 2 11 3" xfId="12797" xr:uid="{00000000-0005-0000-0000-000062250000}"/>
    <cellStyle name="40% - Accent4 2 11 3 2" xfId="12798" xr:uid="{00000000-0005-0000-0000-000063250000}"/>
    <cellStyle name="40% - Accent4 2 11 4" xfId="12799" xr:uid="{00000000-0005-0000-0000-000064250000}"/>
    <cellStyle name="40% - Accent4 2 11 4 2" xfId="12800" xr:uid="{00000000-0005-0000-0000-000065250000}"/>
    <cellStyle name="40% - Accent4 2 11 5" xfId="12801" xr:uid="{00000000-0005-0000-0000-000066250000}"/>
    <cellStyle name="40% - Accent4 2 11 5 2" xfId="12802" xr:uid="{00000000-0005-0000-0000-000067250000}"/>
    <cellStyle name="40% - Accent4 2 11 6" xfId="12803" xr:uid="{00000000-0005-0000-0000-000068250000}"/>
    <cellStyle name="40% - Accent4 2 11 7" xfId="12794" xr:uid="{00000000-0005-0000-0000-000069250000}"/>
    <cellStyle name="40% - Accent4 2 12" xfId="2385" xr:uid="{00000000-0005-0000-0000-00006A250000}"/>
    <cellStyle name="40% - Accent4 2 12 2" xfId="4576" xr:uid="{00000000-0005-0000-0000-00006B250000}"/>
    <cellStyle name="40% - Accent4 2 12 2 2" xfId="12806" xr:uid="{00000000-0005-0000-0000-00006C250000}"/>
    <cellStyle name="40% - Accent4 2 12 2 3" xfId="12805" xr:uid="{00000000-0005-0000-0000-00006D250000}"/>
    <cellStyle name="40% - Accent4 2 12 3" xfId="12807" xr:uid="{00000000-0005-0000-0000-00006E250000}"/>
    <cellStyle name="40% - Accent4 2 12 3 2" xfId="12808" xr:uid="{00000000-0005-0000-0000-00006F250000}"/>
    <cellStyle name="40% - Accent4 2 12 4" xfId="12809" xr:uid="{00000000-0005-0000-0000-000070250000}"/>
    <cellStyle name="40% - Accent4 2 12 4 2" xfId="12810" xr:uid="{00000000-0005-0000-0000-000071250000}"/>
    <cellStyle name="40% - Accent4 2 12 5" xfId="12811" xr:uid="{00000000-0005-0000-0000-000072250000}"/>
    <cellStyle name="40% - Accent4 2 12 5 2" xfId="12812" xr:uid="{00000000-0005-0000-0000-000073250000}"/>
    <cellStyle name="40% - Accent4 2 12 6" xfId="12813" xr:uid="{00000000-0005-0000-0000-000074250000}"/>
    <cellStyle name="40% - Accent4 2 12 7" xfId="12804" xr:uid="{00000000-0005-0000-0000-000075250000}"/>
    <cellStyle name="40% - Accent4 2 13" xfId="2758" xr:uid="{00000000-0005-0000-0000-000076250000}"/>
    <cellStyle name="40% - Accent4 2 13 2" xfId="4577" xr:uid="{00000000-0005-0000-0000-000077250000}"/>
    <cellStyle name="40% - Accent4 2 13 2 2" xfId="12816" xr:uid="{00000000-0005-0000-0000-000078250000}"/>
    <cellStyle name="40% - Accent4 2 13 2 3" xfId="12815" xr:uid="{00000000-0005-0000-0000-000079250000}"/>
    <cellStyle name="40% - Accent4 2 13 3" xfId="12817" xr:uid="{00000000-0005-0000-0000-00007A250000}"/>
    <cellStyle name="40% - Accent4 2 13 3 2" xfId="12818" xr:uid="{00000000-0005-0000-0000-00007B250000}"/>
    <cellStyle name="40% - Accent4 2 13 4" xfId="12819" xr:uid="{00000000-0005-0000-0000-00007C250000}"/>
    <cellStyle name="40% - Accent4 2 13 4 2" xfId="12820" xr:uid="{00000000-0005-0000-0000-00007D250000}"/>
    <cellStyle name="40% - Accent4 2 13 5" xfId="12821" xr:uid="{00000000-0005-0000-0000-00007E250000}"/>
    <cellStyle name="40% - Accent4 2 13 5 2" xfId="12822" xr:uid="{00000000-0005-0000-0000-00007F250000}"/>
    <cellStyle name="40% - Accent4 2 13 6" xfId="12823" xr:uid="{00000000-0005-0000-0000-000080250000}"/>
    <cellStyle name="40% - Accent4 2 13 7" xfId="12814" xr:uid="{00000000-0005-0000-0000-000081250000}"/>
    <cellStyle name="40% - Accent4 2 14" xfId="3132" xr:uid="{00000000-0005-0000-0000-000082250000}"/>
    <cellStyle name="40% - Accent4 2 14 2" xfId="4578" xr:uid="{00000000-0005-0000-0000-000083250000}"/>
    <cellStyle name="40% - Accent4 2 14 2 2" xfId="12826" xr:uid="{00000000-0005-0000-0000-000084250000}"/>
    <cellStyle name="40% - Accent4 2 14 2 3" xfId="12825" xr:uid="{00000000-0005-0000-0000-000085250000}"/>
    <cellStyle name="40% - Accent4 2 14 3" xfId="12827" xr:uid="{00000000-0005-0000-0000-000086250000}"/>
    <cellStyle name="40% - Accent4 2 14 3 2" xfId="12828" xr:uid="{00000000-0005-0000-0000-000087250000}"/>
    <cellStyle name="40% - Accent4 2 14 4" xfId="12829" xr:uid="{00000000-0005-0000-0000-000088250000}"/>
    <cellStyle name="40% - Accent4 2 14 4 2" xfId="12830" xr:uid="{00000000-0005-0000-0000-000089250000}"/>
    <cellStyle name="40% - Accent4 2 14 5" xfId="12831" xr:uid="{00000000-0005-0000-0000-00008A250000}"/>
    <cellStyle name="40% - Accent4 2 14 5 2" xfId="12832" xr:uid="{00000000-0005-0000-0000-00008B250000}"/>
    <cellStyle name="40% - Accent4 2 14 6" xfId="12833" xr:uid="{00000000-0005-0000-0000-00008C250000}"/>
    <cellStyle name="40% - Accent4 2 14 7" xfId="12824" xr:uid="{00000000-0005-0000-0000-00008D250000}"/>
    <cellStyle name="40% - Accent4 2 15" xfId="3503" xr:uid="{00000000-0005-0000-0000-00008E250000}"/>
    <cellStyle name="40% - Accent4 2 15 2" xfId="4579" xr:uid="{00000000-0005-0000-0000-00008F250000}"/>
    <cellStyle name="40% - Accent4 2 15 2 2" xfId="12836" xr:uid="{00000000-0005-0000-0000-000090250000}"/>
    <cellStyle name="40% - Accent4 2 15 2 3" xfId="12835" xr:uid="{00000000-0005-0000-0000-000091250000}"/>
    <cellStyle name="40% - Accent4 2 15 3" xfId="12837" xr:uid="{00000000-0005-0000-0000-000092250000}"/>
    <cellStyle name="40% - Accent4 2 15 3 2" xfId="12838" xr:uid="{00000000-0005-0000-0000-000093250000}"/>
    <cellStyle name="40% - Accent4 2 15 4" xfId="12839" xr:uid="{00000000-0005-0000-0000-000094250000}"/>
    <cellStyle name="40% - Accent4 2 15 5" xfId="12834" xr:uid="{00000000-0005-0000-0000-000095250000}"/>
    <cellStyle name="40% - Accent4 2 16" xfId="3641" xr:uid="{00000000-0005-0000-0000-000096250000}"/>
    <cellStyle name="40% - Accent4 2 16 2" xfId="4580" xr:uid="{00000000-0005-0000-0000-000097250000}"/>
    <cellStyle name="40% - Accent4 2 16 2 2" xfId="12842" xr:uid="{00000000-0005-0000-0000-000098250000}"/>
    <cellStyle name="40% - Accent4 2 16 2 3" xfId="12841" xr:uid="{00000000-0005-0000-0000-000099250000}"/>
    <cellStyle name="40% - Accent4 2 16 3" xfId="12843" xr:uid="{00000000-0005-0000-0000-00009A250000}"/>
    <cellStyle name="40% - Accent4 2 16 3 2" xfId="12844" xr:uid="{00000000-0005-0000-0000-00009B250000}"/>
    <cellStyle name="40% - Accent4 2 16 4" xfId="12845" xr:uid="{00000000-0005-0000-0000-00009C250000}"/>
    <cellStyle name="40% - Accent4 2 16 5" xfId="12840" xr:uid="{00000000-0005-0000-0000-00009D250000}"/>
    <cellStyle name="40% - Accent4 2 17" xfId="12846" xr:uid="{00000000-0005-0000-0000-00009E250000}"/>
    <cellStyle name="40% - Accent4 2 18" xfId="12783" xr:uid="{00000000-0005-0000-0000-00009F250000}"/>
    <cellStyle name="40% - Accent4 2 19" xfId="24476" xr:uid="{00000000-0005-0000-0000-0000A0250000}"/>
    <cellStyle name="40% - Accent4 2 2" xfId="121" xr:uid="{00000000-0005-0000-0000-0000A1250000}"/>
    <cellStyle name="40% - Accent4 2 2 10" xfId="12848" xr:uid="{00000000-0005-0000-0000-0000A2250000}"/>
    <cellStyle name="40% - Accent4 2 2 10 2" xfId="12849" xr:uid="{00000000-0005-0000-0000-0000A3250000}"/>
    <cellStyle name="40% - Accent4 2 2 10 2 2" xfId="12850" xr:uid="{00000000-0005-0000-0000-0000A4250000}"/>
    <cellStyle name="40% - Accent4 2 2 10 3" xfId="12851" xr:uid="{00000000-0005-0000-0000-0000A5250000}"/>
    <cellStyle name="40% - Accent4 2 2 10 3 2" xfId="12852" xr:uid="{00000000-0005-0000-0000-0000A6250000}"/>
    <cellStyle name="40% - Accent4 2 2 10 4" xfId="12853" xr:uid="{00000000-0005-0000-0000-0000A7250000}"/>
    <cellStyle name="40% - Accent4 2 2 11" xfId="12854" xr:uid="{00000000-0005-0000-0000-0000A8250000}"/>
    <cellStyle name="40% - Accent4 2 2 11 2" xfId="12855" xr:uid="{00000000-0005-0000-0000-0000A9250000}"/>
    <cellStyle name="40% - Accent4 2 2 11 2 2" xfId="12856" xr:uid="{00000000-0005-0000-0000-0000AA250000}"/>
    <cellStyle name="40% - Accent4 2 2 11 3" xfId="12857" xr:uid="{00000000-0005-0000-0000-0000AB250000}"/>
    <cellStyle name="40% - Accent4 2 2 11 3 2" xfId="12858" xr:uid="{00000000-0005-0000-0000-0000AC250000}"/>
    <cellStyle name="40% - Accent4 2 2 11 4" xfId="12859" xr:uid="{00000000-0005-0000-0000-0000AD250000}"/>
    <cellStyle name="40% - Accent4 2 2 12" xfId="12860" xr:uid="{00000000-0005-0000-0000-0000AE250000}"/>
    <cellStyle name="40% - Accent4 2 2 12 2" xfId="12861" xr:uid="{00000000-0005-0000-0000-0000AF250000}"/>
    <cellStyle name="40% - Accent4 2 2 12 2 2" xfId="12862" xr:uid="{00000000-0005-0000-0000-0000B0250000}"/>
    <cellStyle name="40% - Accent4 2 2 12 3" xfId="12863" xr:uid="{00000000-0005-0000-0000-0000B1250000}"/>
    <cellStyle name="40% - Accent4 2 2 12 3 2" xfId="12864" xr:uid="{00000000-0005-0000-0000-0000B2250000}"/>
    <cellStyle name="40% - Accent4 2 2 12 4" xfId="12865" xr:uid="{00000000-0005-0000-0000-0000B3250000}"/>
    <cellStyle name="40% - Accent4 2 2 13" xfId="12866" xr:uid="{00000000-0005-0000-0000-0000B4250000}"/>
    <cellStyle name="40% - Accent4 2 2 13 2" xfId="12867" xr:uid="{00000000-0005-0000-0000-0000B5250000}"/>
    <cellStyle name="40% - Accent4 2 2 14" xfId="12868" xr:uid="{00000000-0005-0000-0000-0000B6250000}"/>
    <cellStyle name="40% - Accent4 2 2 14 2" xfId="12869" xr:uid="{00000000-0005-0000-0000-0000B7250000}"/>
    <cellStyle name="40% - Accent4 2 2 15" xfId="12870" xr:uid="{00000000-0005-0000-0000-0000B8250000}"/>
    <cellStyle name="40% - Accent4 2 2 15 2" xfId="12871" xr:uid="{00000000-0005-0000-0000-0000B9250000}"/>
    <cellStyle name="40% - Accent4 2 2 16" xfId="12872" xr:uid="{00000000-0005-0000-0000-0000BA250000}"/>
    <cellStyle name="40% - Accent4 2 2 17" xfId="12847" xr:uid="{00000000-0005-0000-0000-0000BB250000}"/>
    <cellStyle name="40% - Accent4 2 2 2" xfId="184" xr:uid="{00000000-0005-0000-0000-0000BC250000}"/>
    <cellStyle name="40% - Accent4 2 2 2 2" xfId="12874" xr:uid="{00000000-0005-0000-0000-0000BD250000}"/>
    <cellStyle name="40% - Accent4 2 2 2 2 2" xfId="12875" xr:uid="{00000000-0005-0000-0000-0000BE250000}"/>
    <cellStyle name="40% - Accent4 2 2 2 3" xfId="12876" xr:uid="{00000000-0005-0000-0000-0000BF250000}"/>
    <cellStyle name="40% - Accent4 2 2 2 3 2" xfId="12877" xr:uid="{00000000-0005-0000-0000-0000C0250000}"/>
    <cellStyle name="40% - Accent4 2 2 2 4" xfId="12878" xr:uid="{00000000-0005-0000-0000-0000C1250000}"/>
    <cellStyle name="40% - Accent4 2 2 2 5" xfId="12873" xr:uid="{00000000-0005-0000-0000-0000C2250000}"/>
    <cellStyle name="40% - Accent4 2 2 3" xfId="348" xr:uid="{00000000-0005-0000-0000-0000C3250000}"/>
    <cellStyle name="40% - Accent4 2 2 3 2" xfId="12880" xr:uid="{00000000-0005-0000-0000-0000C4250000}"/>
    <cellStyle name="40% - Accent4 2 2 3 2 2" xfId="12881" xr:uid="{00000000-0005-0000-0000-0000C5250000}"/>
    <cellStyle name="40% - Accent4 2 2 3 3" xfId="12882" xr:uid="{00000000-0005-0000-0000-0000C6250000}"/>
    <cellStyle name="40% - Accent4 2 2 3 3 2" xfId="12883" xr:uid="{00000000-0005-0000-0000-0000C7250000}"/>
    <cellStyle name="40% - Accent4 2 2 3 4" xfId="12884" xr:uid="{00000000-0005-0000-0000-0000C8250000}"/>
    <cellStyle name="40% - Accent4 2 2 3 5" xfId="12879" xr:uid="{00000000-0005-0000-0000-0000C9250000}"/>
    <cellStyle name="40% - Accent4 2 2 4" xfId="2170" xr:uid="{00000000-0005-0000-0000-0000CA250000}"/>
    <cellStyle name="40% - Accent4 2 2 4 2" xfId="12886" xr:uid="{00000000-0005-0000-0000-0000CB250000}"/>
    <cellStyle name="40% - Accent4 2 2 4 2 2" xfId="12887" xr:uid="{00000000-0005-0000-0000-0000CC250000}"/>
    <cellStyle name="40% - Accent4 2 2 4 3" xfId="12888" xr:uid="{00000000-0005-0000-0000-0000CD250000}"/>
    <cellStyle name="40% - Accent4 2 2 4 3 2" xfId="12889" xr:uid="{00000000-0005-0000-0000-0000CE250000}"/>
    <cellStyle name="40% - Accent4 2 2 4 4" xfId="12890" xr:uid="{00000000-0005-0000-0000-0000CF250000}"/>
    <cellStyle name="40% - Accent4 2 2 4 5" xfId="12885" xr:uid="{00000000-0005-0000-0000-0000D0250000}"/>
    <cellStyle name="40% - Accent4 2 2 5" xfId="2544" xr:uid="{00000000-0005-0000-0000-0000D1250000}"/>
    <cellStyle name="40% - Accent4 2 2 5 2" xfId="12892" xr:uid="{00000000-0005-0000-0000-0000D2250000}"/>
    <cellStyle name="40% - Accent4 2 2 5 2 2" xfId="12893" xr:uid="{00000000-0005-0000-0000-0000D3250000}"/>
    <cellStyle name="40% - Accent4 2 2 5 3" xfId="12894" xr:uid="{00000000-0005-0000-0000-0000D4250000}"/>
    <cellStyle name="40% - Accent4 2 2 5 3 2" xfId="12895" xr:uid="{00000000-0005-0000-0000-0000D5250000}"/>
    <cellStyle name="40% - Accent4 2 2 5 4" xfId="12896" xr:uid="{00000000-0005-0000-0000-0000D6250000}"/>
    <cellStyle name="40% - Accent4 2 2 5 5" xfId="12891" xr:uid="{00000000-0005-0000-0000-0000D7250000}"/>
    <cellStyle name="40% - Accent4 2 2 6" xfId="2916" xr:uid="{00000000-0005-0000-0000-0000D8250000}"/>
    <cellStyle name="40% - Accent4 2 2 6 2" xfId="12898" xr:uid="{00000000-0005-0000-0000-0000D9250000}"/>
    <cellStyle name="40% - Accent4 2 2 6 2 2" xfId="12899" xr:uid="{00000000-0005-0000-0000-0000DA250000}"/>
    <cellStyle name="40% - Accent4 2 2 6 3" xfId="12900" xr:uid="{00000000-0005-0000-0000-0000DB250000}"/>
    <cellStyle name="40% - Accent4 2 2 6 3 2" xfId="12901" xr:uid="{00000000-0005-0000-0000-0000DC250000}"/>
    <cellStyle name="40% - Accent4 2 2 6 4" xfId="12902" xr:uid="{00000000-0005-0000-0000-0000DD250000}"/>
    <cellStyle name="40% - Accent4 2 2 6 5" xfId="12897" xr:uid="{00000000-0005-0000-0000-0000DE250000}"/>
    <cellStyle name="40% - Accent4 2 2 7" xfId="3288" xr:uid="{00000000-0005-0000-0000-0000DF250000}"/>
    <cellStyle name="40% - Accent4 2 2 7 2" xfId="12904" xr:uid="{00000000-0005-0000-0000-0000E0250000}"/>
    <cellStyle name="40% - Accent4 2 2 7 2 2" xfId="12905" xr:uid="{00000000-0005-0000-0000-0000E1250000}"/>
    <cellStyle name="40% - Accent4 2 2 7 3" xfId="12906" xr:uid="{00000000-0005-0000-0000-0000E2250000}"/>
    <cellStyle name="40% - Accent4 2 2 7 3 2" xfId="12907" xr:uid="{00000000-0005-0000-0000-0000E3250000}"/>
    <cellStyle name="40% - Accent4 2 2 7 4" xfId="12908" xr:uid="{00000000-0005-0000-0000-0000E4250000}"/>
    <cellStyle name="40% - Accent4 2 2 7 5" xfId="12903" xr:uid="{00000000-0005-0000-0000-0000E5250000}"/>
    <cellStyle name="40% - Accent4 2 2 8" xfId="4581" xr:uid="{00000000-0005-0000-0000-0000E6250000}"/>
    <cellStyle name="40% - Accent4 2 2 8 2" xfId="12910" xr:uid="{00000000-0005-0000-0000-0000E7250000}"/>
    <cellStyle name="40% - Accent4 2 2 8 2 2" xfId="12911" xr:uid="{00000000-0005-0000-0000-0000E8250000}"/>
    <cellStyle name="40% - Accent4 2 2 8 3" xfId="12912" xr:uid="{00000000-0005-0000-0000-0000E9250000}"/>
    <cellStyle name="40% - Accent4 2 2 8 3 2" xfId="12913" xr:uid="{00000000-0005-0000-0000-0000EA250000}"/>
    <cellStyle name="40% - Accent4 2 2 8 4" xfId="12914" xr:uid="{00000000-0005-0000-0000-0000EB250000}"/>
    <cellStyle name="40% - Accent4 2 2 8 5" xfId="12909" xr:uid="{00000000-0005-0000-0000-0000EC250000}"/>
    <cellStyle name="40% - Accent4 2 2 9" xfId="12915" xr:uid="{00000000-0005-0000-0000-0000ED250000}"/>
    <cellStyle name="40% - Accent4 2 2 9 2" xfId="12916" xr:uid="{00000000-0005-0000-0000-0000EE250000}"/>
    <cellStyle name="40% - Accent4 2 2 9 2 2" xfId="12917" xr:uid="{00000000-0005-0000-0000-0000EF250000}"/>
    <cellStyle name="40% - Accent4 2 2 9 3" xfId="12918" xr:uid="{00000000-0005-0000-0000-0000F0250000}"/>
    <cellStyle name="40% - Accent4 2 2 9 3 2" xfId="12919" xr:uid="{00000000-0005-0000-0000-0000F1250000}"/>
    <cellStyle name="40% - Accent4 2 2 9 4" xfId="12920" xr:uid="{00000000-0005-0000-0000-0000F2250000}"/>
    <cellStyle name="40% - Accent4 2 3" xfId="286" xr:uid="{00000000-0005-0000-0000-0000F3250000}"/>
    <cellStyle name="40% - Accent4 2 3 2" xfId="1346" xr:uid="{00000000-0005-0000-0000-0000F4250000}"/>
    <cellStyle name="40% - Accent4 2 3 2 2" xfId="12923" xr:uid="{00000000-0005-0000-0000-0000F5250000}"/>
    <cellStyle name="40% - Accent4 2 3 2 2 2" xfId="12924" xr:uid="{00000000-0005-0000-0000-0000F6250000}"/>
    <cellStyle name="40% - Accent4 2 3 2 3" xfId="12925" xr:uid="{00000000-0005-0000-0000-0000F7250000}"/>
    <cellStyle name="40% - Accent4 2 3 2 3 2" xfId="12926" xr:uid="{00000000-0005-0000-0000-0000F8250000}"/>
    <cellStyle name="40% - Accent4 2 3 2 4" xfId="12927" xr:uid="{00000000-0005-0000-0000-0000F9250000}"/>
    <cellStyle name="40% - Accent4 2 3 2 5" xfId="12922" xr:uid="{00000000-0005-0000-0000-0000FA250000}"/>
    <cellStyle name="40% - Accent4 2 3 3" xfId="12928" xr:uid="{00000000-0005-0000-0000-0000FB250000}"/>
    <cellStyle name="40% - Accent4 2 3 3 2" xfId="12929" xr:uid="{00000000-0005-0000-0000-0000FC250000}"/>
    <cellStyle name="40% - Accent4 2 3 4" xfId="12930" xr:uid="{00000000-0005-0000-0000-0000FD250000}"/>
    <cellStyle name="40% - Accent4 2 3 4 2" xfId="12931" xr:uid="{00000000-0005-0000-0000-0000FE250000}"/>
    <cellStyle name="40% - Accent4 2 3 5" xfId="12932" xr:uid="{00000000-0005-0000-0000-0000FF250000}"/>
    <cellStyle name="40% - Accent4 2 3 6" xfId="12921" xr:uid="{00000000-0005-0000-0000-000000260000}"/>
    <cellStyle name="40% - Accent4 2 4" xfId="394" xr:uid="{00000000-0005-0000-0000-000001260000}"/>
    <cellStyle name="40% - Accent4 2 4 2" xfId="12934" xr:uid="{00000000-0005-0000-0000-000002260000}"/>
    <cellStyle name="40% - Accent4 2 4 2 2" xfId="12935" xr:uid="{00000000-0005-0000-0000-000003260000}"/>
    <cellStyle name="40% - Accent4 2 4 2 2 2" xfId="12936" xr:uid="{00000000-0005-0000-0000-000004260000}"/>
    <cellStyle name="40% - Accent4 2 4 2 3" xfId="12937" xr:uid="{00000000-0005-0000-0000-000005260000}"/>
    <cellStyle name="40% - Accent4 2 4 2 3 2" xfId="12938" xr:uid="{00000000-0005-0000-0000-000006260000}"/>
    <cellStyle name="40% - Accent4 2 4 2 4" xfId="12939" xr:uid="{00000000-0005-0000-0000-000007260000}"/>
    <cellStyle name="40% - Accent4 2 4 3" xfId="12940" xr:uid="{00000000-0005-0000-0000-000008260000}"/>
    <cellStyle name="40% - Accent4 2 4 3 2" xfId="12941" xr:uid="{00000000-0005-0000-0000-000009260000}"/>
    <cellStyle name="40% - Accent4 2 4 4" xfId="12942" xr:uid="{00000000-0005-0000-0000-00000A260000}"/>
    <cellStyle name="40% - Accent4 2 4 4 2" xfId="12943" xr:uid="{00000000-0005-0000-0000-00000B260000}"/>
    <cellStyle name="40% - Accent4 2 4 5" xfId="12944" xr:uid="{00000000-0005-0000-0000-00000C260000}"/>
    <cellStyle name="40% - Accent4 2 4 6" xfId="12933" xr:uid="{00000000-0005-0000-0000-00000D260000}"/>
    <cellStyle name="40% - Accent4 2 5" xfId="546" xr:uid="{00000000-0005-0000-0000-00000E260000}"/>
    <cellStyle name="40% - Accent4 2 5 2" xfId="12946" xr:uid="{00000000-0005-0000-0000-00000F260000}"/>
    <cellStyle name="40% - Accent4 2 5 2 2" xfId="12947" xr:uid="{00000000-0005-0000-0000-000010260000}"/>
    <cellStyle name="40% - Accent4 2 5 3" xfId="12948" xr:uid="{00000000-0005-0000-0000-000011260000}"/>
    <cellStyle name="40% - Accent4 2 5 3 2" xfId="12949" xr:uid="{00000000-0005-0000-0000-000012260000}"/>
    <cellStyle name="40% - Accent4 2 5 4" xfId="12950" xr:uid="{00000000-0005-0000-0000-000013260000}"/>
    <cellStyle name="40% - Accent4 2 5 5" xfId="12945" xr:uid="{00000000-0005-0000-0000-000014260000}"/>
    <cellStyle name="40% - Accent4 2 6" xfId="678" xr:uid="{00000000-0005-0000-0000-000015260000}"/>
    <cellStyle name="40% - Accent4 2 6 2" xfId="12952" xr:uid="{00000000-0005-0000-0000-000016260000}"/>
    <cellStyle name="40% - Accent4 2 6 2 2" xfId="12953" xr:uid="{00000000-0005-0000-0000-000017260000}"/>
    <cellStyle name="40% - Accent4 2 6 3" xfId="12954" xr:uid="{00000000-0005-0000-0000-000018260000}"/>
    <cellStyle name="40% - Accent4 2 6 3 2" xfId="12955" xr:uid="{00000000-0005-0000-0000-000019260000}"/>
    <cellStyle name="40% - Accent4 2 6 4" xfId="12956" xr:uid="{00000000-0005-0000-0000-00001A260000}"/>
    <cellStyle name="40% - Accent4 2 6 5" xfId="12951" xr:uid="{00000000-0005-0000-0000-00001B260000}"/>
    <cellStyle name="40% - Accent4 2 7" xfId="679" xr:uid="{00000000-0005-0000-0000-00001C260000}"/>
    <cellStyle name="40% - Accent4 2 7 2" xfId="12958" xr:uid="{00000000-0005-0000-0000-00001D260000}"/>
    <cellStyle name="40% - Accent4 2 7 2 2" xfId="12959" xr:uid="{00000000-0005-0000-0000-00001E260000}"/>
    <cellStyle name="40% - Accent4 2 7 3" xfId="12960" xr:uid="{00000000-0005-0000-0000-00001F260000}"/>
    <cellStyle name="40% - Accent4 2 7 3 2" xfId="12961" xr:uid="{00000000-0005-0000-0000-000020260000}"/>
    <cellStyle name="40% - Accent4 2 7 4" xfId="12962" xr:uid="{00000000-0005-0000-0000-000021260000}"/>
    <cellStyle name="40% - Accent4 2 7 5" xfId="12957" xr:uid="{00000000-0005-0000-0000-000022260000}"/>
    <cellStyle name="40% - Accent4 2 8" xfId="827" xr:uid="{00000000-0005-0000-0000-000023260000}"/>
    <cellStyle name="40% - Accent4 2 8 2" xfId="1405" xr:uid="{00000000-0005-0000-0000-000024260000}"/>
    <cellStyle name="40% - Accent4 2 8 2 2" xfId="12965" xr:uid="{00000000-0005-0000-0000-000025260000}"/>
    <cellStyle name="40% - Accent4 2 8 2 3" xfId="12964" xr:uid="{00000000-0005-0000-0000-000026260000}"/>
    <cellStyle name="40% - Accent4 2 8 3" xfId="12966" xr:uid="{00000000-0005-0000-0000-000027260000}"/>
    <cellStyle name="40% - Accent4 2 8 3 2" xfId="12967" xr:uid="{00000000-0005-0000-0000-000028260000}"/>
    <cellStyle name="40% - Accent4 2 8 4" xfId="12968" xr:uid="{00000000-0005-0000-0000-000029260000}"/>
    <cellStyle name="40% - Accent4 2 8 4 2" xfId="12969" xr:uid="{00000000-0005-0000-0000-00002A260000}"/>
    <cellStyle name="40% - Accent4 2 8 5" xfId="12970" xr:uid="{00000000-0005-0000-0000-00002B260000}"/>
    <cellStyle name="40% - Accent4 2 8 5 2" xfId="12971" xr:uid="{00000000-0005-0000-0000-00002C260000}"/>
    <cellStyle name="40% - Accent4 2 8 6" xfId="12972" xr:uid="{00000000-0005-0000-0000-00002D260000}"/>
    <cellStyle name="40% - Accent4 2 8 7" xfId="12963" xr:uid="{00000000-0005-0000-0000-00002E260000}"/>
    <cellStyle name="40% - Accent4 2 9" xfId="940" xr:uid="{00000000-0005-0000-0000-00002F260000}"/>
    <cellStyle name="40% - Accent4 2 9 2" xfId="1442" xr:uid="{00000000-0005-0000-0000-000030260000}"/>
    <cellStyle name="40% - Accent4 2 9 2 2" xfId="12975" xr:uid="{00000000-0005-0000-0000-000031260000}"/>
    <cellStyle name="40% - Accent4 2 9 2 3" xfId="12974" xr:uid="{00000000-0005-0000-0000-000032260000}"/>
    <cellStyle name="40% - Accent4 2 9 3" xfId="12976" xr:uid="{00000000-0005-0000-0000-000033260000}"/>
    <cellStyle name="40% - Accent4 2 9 3 2" xfId="12977" xr:uid="{00000000-0005-0000-0000-000034260000}"/>
    <cellStyle name="40% - Accent4 2 9 4" xfId="12978" xr:uid="{00000000-0005-0000-0000-000035260000}"/>
    <cellStyle name="40% - Accent4 2 9 4 2" xfId="12979" xr:uid="{00000000-0005-0000-0000-000036260000}"/>
    <cellStyle name="40% - Accent4 2 9 5" xfId="12980" xr:uid="{00000000-0005-0000-0000-000037260000}"/>
    <cellStyle name="40% - Accent4 2 9 5 2" xfId="12981" xr:uid="{00000000-0005-0000-0000-000038260000}"/>
    <cellStyle name="40% - Accent4 2 9 6" xfId="12982" xr:uid="{00000000-0005-0000-0000-000039260000}"/>
    <cellStyle name="40% - Accent4 2 9 7" xfId="12973" xr:uid="{00000000-0005-0000-0000-00003A260000}"/>
    <cellStyle name="40% - Accent4 20" xfId="12983" xr:uid="{00000000-0005-0000-0000-00003B260000}"/>
    <cellStyle name="40% - Accent4 20 2" xfId="12984" xr:uid="{00000000-0005-0000-0000-00003C260000}"/>
    <cellStyle name="40% - Accent4 21" xfId="12985" xr:uid="{00000000-0005-0000-0000-00003D260000}"/>
    <cellStyle name="40% - Accent4 21 2" xfId="12986" xr:uid="{00000000-0005-0000-0000-00003E260000}"/>
    <cellStyle name="40% - Accent4 21 2 2" xfId="12987" xr:uid="{00000000-0005-0000-0000-00003F260000}"/>
    <cellStyle name="40% - Accent4 21 2 2 2" xfId="12988" xr:uid="{00000000-0005-0000-0000-000040260000}"/>
    <cellStyle name="40% - Accent4 21 2 3" xfId="12989" xr:uid="{00000000-0005-0000-0000-000041260000}"/>
    <cellStyle name="40% - Accent4 21 2 3 2" xfId="12990" xr:uid="{00000000-0005-0000-0000-000042260000}"/>
    <cellStyle name="40% - Accent4 21 2 4" xfId="12991" xr:uid="{00000000-0005-0000-0000-000043260000}"/>
    <cellStyle name="40% - Accent4 21 3" xfId="12992" xr:uid="{00000000-0005-0000-0000-000044260000}"/>
    <cellStyle name="40% - Accent4 21 3 2" xfId="12993" xr:uid="{00000000-0005-0000-0000-000045260000}"/>
    <cellStyle name="40% - Accent4 21 4" xfId="12994" xr:uid="{00000000-0005-0000-0000-000046260000}"/>
    <cellStyle name="40% - Accent4 21 4 2" xfId="12995" xr:uid="{00000000-0005-0000-0000-000047260000}"/>
    <cellStyle name="40% - Accent4 21 5" xfId="12996" xr:uid="{00000000-0005-0000-0000-000048260000}"/>
    <cellStyle name="40% - Accent4 22" xfId="12997" xr:uid="{00000000-0005-0000-0000-000049260000}"/>
    <cellStyle name="40% - Accent4 22 2" xfId="12998" xr:uid="{00000000-0005-0000-0000-00004A260000}"/>
    <cellStyle name="40% - Accent4 22 2 2" xfId="12999" xr:uid="{00000000-0005-0000-0000-00004B260000}"/>
    <cellStyle name="40% - Accent4 22 2 2 2" xfId="13000" xr:uid="{00000000-0005-0000-0000-00004C260000}"/>
    <cellStyle name="40% - Accent4 22 2 3" xfId="13001" xr:uid="{00000000-0005-0000-0000-00004D260000}"/>
    <cellStyle name="40% - Accent4 22 2 3 2" xfId="13002" xr:uid="{00000000-0005-0000-0000-00004E260000}"/>
    <cellStyle name="40% - Accent4 22 2 4" xfId="13003" xr:uid="{00000000-0005-0000-0000-00004F260000}"/>
    <cellStyle name="40% - Accent4 22 3" xfId="13004" xr:uid="{00000000-0005-0000-0000-000050260000}"/>
    <cellStyle name="40% - Accent4 22 3 2" xfId="13005" xr:uid="{00000000-0005-0000-0000-000051260000}"/>
    <cellStyle name="40% - Accent4 22 4" xfId="13006" xr:uid="{00000000-0005-0000-0000-000052260000}"/>
    <cellStyle name="40% - Accent4 22 4 2" xfId="13007" xr:uid="{00000000-0005-0000-0000-000053260000}"/>
    <cellStyle name="40% - Accent4 22 5" xfId="13008" xr:uid="{00000000-0005-0000-0000-000054260000}"/>
    <cellStyle name="40% - Accent4 23" xfId="13009" xr:uid="{00000000-0005-0000-0000-000055260000}"/>
    <cellStyle name="40% - Accent4 23 2" xfId="13010" xr:uid="{00000000-0005-0000-0000-000056260000}"/>
    <cellStyle name="40% - Accent4 24" xfId="13011" xr:uid="{00000000-0005-0000-0000-000057260000}"/>
    <cellStyle name="40% - Accent4 24 2" xfId="13012" xr:uid="{00000000-0005-0000-0000-000058260000}"/>
    <cellStyle name="40% - Accent4 24 2 2" xfId="13013" xr:uid="{00000000-0005-0000-0000-000059260000}"/>
    <cellStyle name="40% - Accent4 24 2 2 2" xfId="13014" xr:uid="{00000000-0005-0000-0000-00005A260000}"/>
    <cellStyle name="40% - Accent4 24 2 3" xfId="13015" xr:uid="{00000000-0005-0000-0000-00005B260000}"/>
    <cellStyle name="40% - Accent4 24 2 3 2" xfId="13016" xr:uid="{00000000-0005-0000-0000-00005C260000}"/>
    <cellStyle name="40% - Accent4 24 2 4" xfId="13017" xr:uid="{00000000-0005-0000-0000-00005D260000}"/>
    <cellStyle name="40% - Accent4 24 3" xfId="13018" xr:uid="{00000000-0005-0000-0000-00005E260000}"/>
    <cellStyle name="40% - Accent4 24 3 2" xfId="13019" xr:uid="{00000000-0005-0000-0000-00005F260000}"/>
    <cellStyle name="40% - Accent4 24 4" xfId="13020" xr:uid="{00000000-0005-0000-0000-000060260000}"/>
    <cellStyle name="40% - Accent4 24 4 2" xfId="13021" xr:uid="{00000000-0005-0000-0000-000061260000}"/>
    <cellStyle name="40% - Accent4 24 5" xfId="13022" xr:uid="{00000000-0005-0000-0000-000062260000}"/>
    <cellStyle name="40% - Accent4 25" xfId="13023" xr:uid="{00000000-0005-0000-0000-000063260000}"/>
    <cellStyle name="40% - Accent4 25 2" xfId="13024" xr:uid="{00000000-0005-0000-0000-000064260000}"/>
    <cellStyle name="40% - Accent4 25 2 2" xfId="13025" xr:uid="{00000000-0005-0000-0000-000065260000}"/>
    <cellStyle name="40% - Accent4 25 2 2 2" xfId="13026" xr:uid="{00000000-0005-0000-0000-000066260000}"/>
    <cellStyle name="40% - Accent4 25 2 3" xfId="13027" xr:uid="{00000000-0005-0000-0000-000067260000}"/>
    <cellStyle name="40% - Accent4 25 2 3 2" xfId="13028" xr:uid="{00000000-0005-0000-0000-000068260000}"/>
    <cellStyle name="40% - Accent4 25 2 4" xfId="13029" xr:uid="{00000000-0005-0000-0000-000069260000}"/>
    <cellStyle name="40% - Accent4 25 3" xfId="13030" xr:uid="{00000000-0005-0000-0000-00006A260000}"/>
    <cellStyle name="40% - Accent4 25 3 2" xfId="13031" xr:uid="{00000000-0005-0000-0000-00006B260000}"/>
    <cellStyle name="40% - Accent4 25 4" xfId="13032" xr:uid="{00000000-0005-0000-0000-00006C260000}"/>
    <cellStyle name="40% - Accent4 25 4 2" xfId="13033" xr:uid="{00000000-0005-0000-0000-00006D260000}"/>
    <cellStyle name="40% - Accent4 25 5" xfId="13034" xr:uid="{00000000-0005-0000-0000-00006E260000}"/>
    <cellStyle name="40% - Accent4 26" xfId="13035" xr:uid="{00000000-0005-0000-0000-00006F260000}"/>
    <cellStyle name="40% - Accent4 26 2" xfId="13036" xr:uid="{00000000-0005-0000-0000-000070260000}"/>
    <cellStyle name="40% - Accent4 27" xfId="13037" xr:uid="{00000000-0005-0000-0000-000071260000}"/>
    <cellStyle name="40% - Accent4 27 2" xfId="13038" xr:uid="{00000000-0005-0000-0000-000072260000}"/>
    <cellStyle name="40% - Accent4 27 2 2" xfId="13039" xr:uid="{00000000-0005-0000-0000-000073260000}"/>
    <cellStyle name="40% - Accent4 27 2 2 2" xfId="13040" xr:uid="{00000000-0005-0000-0000-000074260000}"/>
    <cellStyle name="40% - Accent4 27 2 3" xfId="13041" xr:uid="{00000000-0005-0000-0000-000075260000}"/>
    <cellStyle name="40% - Accent4 27 2 3 2" xfId="13042" xr:uid="{00000000-0005-0000-0000-000076260000}"/>
    <cellStyle name="40% - Accent4 27 2 4" xfId="13043" xr:uid="{00000000-0005-0000-0000-000077260000}"/>
    <cellStyle name="40% - Accent4 27 3" xfId="13044" xr:uid="{00000000-0005-0000-0000-000078260000}"/>
    <cellStyle name="40% - Accent4 27 3 2" xfId="13045" xr:uid="{00000000-0005-0000-0000-000079260000}"/>
    <cellStyle name="40% - Accent4 27 4" xfId="13046" xr:uid="{00000000-0005-0000-0000-00007A260000}"/>
    <cellStyle name="40% - Accent4 27 4 2" xfId="13047" xr:uid="{00000000-0005-0000-0000-00007B260000}"/>
    <cellStyle name="40% - Accent4 27 5" xfId="13048" xr:uid="{00000000-0005-0000-0000-00007C260000}"/>
    <cellStyle name="40% - Accent4 28" xfId="13049" xr:uid="{00000000-0005-0000-0000-00007D260000}"/>
    <cellStyle name="40% - Accent4 28 2" xfId="13050" xr:uid="{00000000-0005-0000-0000-00007E260000}"/>
    <cellStyle name="40% - Accent4 28 2 2" xfId="13051" xr:uid="{00000000-0005-0000-0000-00007F260000}"/>
    <cellStyle name="40% - Accent4 28 3" xfId="13052" xr:uid="{00000000-0005-0000-0000-000080260000}"/>
    <cellStyle name="40% - Accent4 28 3 2" xfId="13053" xr:uid="{00000000-0005-0000-0000-000081260000}"/>
    <cellStyle name="40% - Accent4 28 4" xfId="13054" xr:uid="{00000000-0005-0000-0000-000082260000}"/>
    <cellStyle name="40% - Accent4 29" xfId="13055" xr:uid="{00000000-0005-0000-0000-000083260000}"/>
    <cellStyle name="40% - Accent4 29 2" xfId="13056" xr:uid="{00000000-0005-0000-0000-000084260000}"/>
    <cellStyle name="40% - Accent4 3" xfId="225" xr:uid="{00000000-0005-0000-0000-000085260000}"/>
    <cellStyle name="40% - Accent4 3 10" xfId="3684" xr:uid="{00000000-0005-0000-0000-000086260000}"/>
    <cellStyle name="40% - Accent4 3 10 2" xfId="4582" xr:uid="{00000000-0005-0000-0000-000087260000}"/>
    <cellStyle name="40% - Accent4 3 10 2 2" xfId="13060" xr:uid="{00000000-0005-0000-0000-000088260000}"/>
    <cellStyle name="40% - Accent4 3 10 2 3" xfId="13059" xr:uid="{00000000-0005-0000-0000-000089260000}"/>
    <cellStyle name="40% - Accent4 3 10 3" xfId="13061" xr:uid="{00000000-0005-0000-0000-00008A260000}"/>
    <cellStyle name="40% - Accent4 3 10 3 2" xfId="13062" xr:uid="{00000000-0005-0000-0000-00008B260000}"/>
    <cellStyle name="40% - Accent4 3 10 4" xfId="13063" xr:uid="{00000000-0005-0000-0000-00008C260000}"/>
    <cellStyle name="40% - Accent4 3 10 4 2" xfId="13064" xr:uid="{00000000-0005-0000-0000-00008D260000}"/>
    <cellStyle name="40% - Accent4 3 10 5" xfId="13065" xr:uid="{00000000-0005-0000-0000-00008E260000}"/>
    <cellStyle name="40% - Accent4 3 10 5 2" xfId="13066" xr:uid="{00000000-0005-0000-0000-00008F260000}"/>
    <cellStyle name="40% - Accent4 3 10 6" xfId="13067" xr:uid="{00000000-0005-0000-0000-000090260000}"/>
    <cellStyle name="40% - Accent4 3 10 7" xfId="13058" xr:uid="{00000000-0005-0000-0000-000091260000}"/>
    <cellStyle name="40% - Accent4 3 11" xfId="13068" xr:uid="{00000000-0005-0000-0000-000092260000}"/>
    <cellStyle name="40% - Accent4 3 11 2" xfId="13069" xr:uid="{00000000-0005-0000-0000-000093260000}"/>
    <cellStyle name="40% - Accent4 3 11 2 2" xfId="13070" xr:uid="{00000000-0005-0000-0000-000094260000}"/>
    <cellStyle name="40% - Accent4 3 11 3" xfId="13071" xr:uid="{00000000-0005-0000-0000-000095260000}"/>
    <cellStyle name="40% - Accent4 3 11 3 2" xfId="13072" xr:uid="{00000000-0005-0000-0000-000096260000}"/>
    <cellStyle name="40% - Accent4 3 11 4" xfId="13073" xr:uid="{00000000-0005-0000-0000-000097260000}"/>
    <cellStyle name="40% - Accent4 3 12" xfId="13074" xr:uid="{00000000-0005-0000-0000-000098260000}"/>
    <cellStyle name="40% - Accent4 3 12 2" xfId="13075" xr:uid="{00000000-0005-0000-0000-000099260000}"/>
    <cellStyle name="40% - Accent4 3 12 2 2" xfId="13076" xr:uid="{00000000-0005-0000-0000-00009A260000}"/>
    <cellStyle name="40% - Accent4 3 12 3" xfId="13077" xr:uid="{00000000-0005-0000-0000-00009B260000}"/>
    <cellStyle name="40% - Accent4 3 12 3 2" xfId="13078" xr:uid="{00000000-0005-0000-0000-00009C260000}"/>
    <cellStyle name="40% - Accent4 3 12 4" xfId="13079" xr:uid="{00000000-0005-0000-0000-00009D260000}"/>
    <cellStyle name="40% - Accent4 3 13" xfId="13080" xr:uid="{00000000-0005-0000-0000-00009E260000}"/>
    <cellStyle name="40% - Accent4 3 13 2" xfId="13081" xr:uid="{00000000-0005-0000-0000-00009F260000}"/>
    <cellStyle name="40% - Accent4 3 13 2 2" xfId="13082" xr:uid="{00000000-0005-0000-0000-0000A0260000}"/>
    <cellStyle name="40% - Accent4 3 13 3" xfId="13083" xr:uid="{00000000-0005-0000-0000-0000A1260000}"/>
    <cellStyle name="40% - Accent4 3 13 3 2" xfId="13084" xr:uid="{00000000-0005-0000-0000-0000A2260000}"/>
    <cellStyle name="40% - Accent4 3 13 4" xfId="13085" xr:uid="{00000000-0005-0000-0000-0000A3260000}"/>
    <cellStyle name="40% - Accent4 3 14" xfId="13086" xr:uid="{00000000-0005-0000-0000-0000A4260000}"/>
    <cellStyle name="40% - Accent4 3 14 2" xfId="13087" xr:uid="{00000000-0005-0000-0000-0000A5260000}"/>
    <cellStyle name="40% - Accent4 3 15" xfId="13088" xr:uid="{00000000-0005-0000-0000-0000A6260000}"/>
    <cellStyle name="40% - Accent4 3 15 2" xfId="13089" xr:uid="{00000000-0005-0000-0000-0000A7260000}"/>
    <cellStyle name="40% - Accent4 3 16" xfId="13090" xr:uid="{00000000-0005-0000-0000-0000A8260000}"/>
    <cellStyle name="40% - Accent4 3 17" xfId="13057" xr:uid="{00000000-0005-0000-0000-0000A9260000}"/>
    <cellStyle name="40% - Accent4 3 2" xfId="1457" xr:uid="{00000000-0005-0000-0000-0000AA260000}"/>
    <cellStyle name="40% - Accent4 3 2 10" xfId="13092" xr:uid="{00000000-0005-0000-0000-0000AB260000}"/>
    <cellStyle name="40% - Accent4 3 2 10 2" xfId="13093" xr:uid="{00000000-0005-0000-0000-0000AC260000}"/>
    <cellStyle name="40% - Accent4 3 2 10 2 2" xfId="13094" xr:uid="{00000000-0005-0000-0000-0000AD260000}"/>
    <cellStyle name="40% - Accent4 3 2 10 3" xfId="13095" xr:uid="{00000000-0005-0000-0000-0000AE260000}"/>
    <cellStyle name="40% - Accent4 3 2 10 3 2" xfId="13096" xr:uid="{00000000-0005-0000-0000-0000AF260000}"/>
    <cellStyle name="40% - Accent4 3 2 10 4" xfId="13097" xr:uid="{00000000-0005-0000-0000-0000B0260000}"/>
    <cellStyle name="40% - Accent4 3 2 11" xfId="13098" xr:uid="{00000000-0005-0000-0000-0000B1260000}"/>
    <cellStyle name="40% - Accent4 3 2 11 2" xfId="13099" xr:uid="{00000000-0005-0000-0000-0000B2260000}"/>
    <cellStyle name="40% - Accent4 3 2 11 2 2" xfId="13100" xr:uid="{00000000-0005-0000-0000-0000B3260000}"/>
    <cellStyle name="40% - Accent4 3 2 11 3" xfId="13101" xr:uid="{00000000-0005-0000-0000-0000B4260000}"/>
    <cellStyle name="40% - Accent4 3 2 11 3 2" xfId="13102" xr:uid="{00000000-0005-0000-0000-0000B5260000}"/>
    <cellStyle name="40% - Accent4 3 2 11 4" xfId="13103" xr:uid="{00000000-0005-0000-0000-0000B6260000}"/>
    <cellStyle name="40% - Accent4 3 2 12" xfId="13104" xr:uid="{00000000-0005-0000-0000-0000B7260000}"/>
    <cellStyle name="40% - Accent4 3 2 12 2" xfId="13105" xr:uid="{00000000-0005-0000-0000-0000B8260000}"/>
    <cellStyle name="40% - Accent4 3 2 12 2 2" xfId="13106" xr:uid="{00000000-0005-0000-0000-0000B9260000}"/>
    <cellStyle name="40% - Accent4 3 2 12 3" xfId="13107" xr:uid="{00000000-0005-0000-0000-0000BA260000}"/>
    <cellStyle name="40% - Accent4 3 2 12 3 2" xfId="13108" xr:uid="{00000000-0005-0000-0000-0000BB260000}"/>
    <cellStyle name="40% - Accent4 3 2 12 4" xfId="13109" xr:uid="{00000000-0005-0000-0000-0000BC260000}"/>
    <cellStyle name="40% - Accent4 3 2 13" xfId="13110" xr:uid="{00000000-0005-0000-0000-0000BD260000}"/>
    <cellStyle name="40% - Accent4 3 2 13 2" xfId="13111" xr:uid="{00000000-0005-0000-0000-0000BE260000}"/>
    <cellStyle name="40% - Accent4 3 2 14" xfId="13112" xr:uid="{00000000-0005-0000-0000-0000BF260000}"/>
    <cellStyle name="40% - Accent4 3 2 14 2" xfId="13113" xr:uid="{00000000-0005-0000-0000-0000C0260000}"/>
    <cellStyle name="40% - Accent4 3 2 15" xfId="13114" xr:uid="{00000000-0005-0000-0000-0000C1260000}"/>
    <cellStyle name="40% - Accent4 3 2 15 2" xfId="13115" xr:uid="{00000000-0005-0000-0000-0000C2260000}"/>
    <cellStyle name="40% - Accent4 3 2 16" xfId="13116" xr:uid="{00000000-0005-0000-0000-0000C3260000}"/>
    <cellStyle name="40% - Accent4 3 2 17" xfId="13091" xr:uid="{00000000-0005-0000-0000-0000C4260000}"/>
    <cellStyle name="40% - Accent4 3 2 2" xfId="1836" xr:uid="{00000000-0005-0000-0000-0000C5260000}"/>
    <cellStyle name="40% - Accent4 3 2 2 2" xfId="13118" xr:uid="{00000000-0005-0000-0000-0000C6260000}"/>
    <cellStyle name="40% - Accent4 3 2 2 2 2" xfId="13119" xr:uid="{00000000-0005-0000-0000-0000C7260000}"/>
    <cellStyle name="40% - Accent4 3 2 2 3" xfId="13120" xr:uid="{00000000-0005-0000-0000-0000C8260000}"/>
    <cellStyle name="40% - Accent4 3 2 2 3 2" xfId="13121" xr:uid="{00000000-0005-0000-0000-0000C9260000}"/>
    <cellStyle name="40% - Accent4 3 2 2 4" xfId="13122" xr:uid="{00000000-0005-0000-0000-0000CA260000}"/>
    <cellStyle name="40% - Accent4 3 2 2 5" xfId="13117" xr:uid="{00000000-0005-0000-0000-0000CB260000}"/>
    <cellStyle name="40% - Accent4 3 2 3" xfId="2211" xr:uid="{00000000-0005-0000-0000-0000CC260000}"/>
    <cellStyle name="40% - Accent4 3 2 3 2" xfId="13124" xr:uid="{00000000-0005-0000-0000-0000CD260000}"/>
    <cellStyle name="40% - Accent4 3 2 3 2 2" xfId="13125" xr:uid="{00000000-0005-0000-0000-0000CE260000}"/>
    <cellStyle name="40% - Accent4 3 2 3 3" xfId="13126" xr:uid="{00000000-0005-0000-0000-0000CF260000}"/>
    <cellStyle name="40% - Accent4 3 2 3 3 2" xfId="13127" xr:uid="{00000000-0005-0000-0000-0000D0260000}"/>
    <cellStyle name="40% - Accent4 3 2 3 4" xfId="13128" xr:uid="{00000000-0005-0000-0000-0000D1260000}"/>
    <cellStyle name="40% - Accent4 3 2 3 5" xfId="13123" xr:uid="{00000000-0005-0000-0000-0000D2260000}"/>
    <cellStyle name="40% - Accent4 3 2 4" xfId="2585" xr:uid="{00000000-0005-0000-0000-0000D3260000}"/>
    <cellStyle name="40% - Accent4 3 2 4 2" xfId="13130" xr:uid="{00000000-0005-0000-0000-0000D4260000}"/>
    <cellStyle name="40% - Accent4 3 2 4 2 2" xfId="13131" xr:uid="{00000000-0005-0000-0000-0000D5260000}"/>
    <cellStyle name="40% - Accent4 3 2 4 3" xfId="13132" xr:uid="{00000000-0005-0000-0000-0000D6260000}"/>
    <cellStyle name="40% - Accent4 3 2 4 3 2" xfId="13133" xr:uid="{00000000-0005-0000-0000-0000D7260000}"/>
    <cellStyle name="40% - Accent4 3 2 4 4" xfId="13134" xr:uid="{00000000-0005-0000-0000-0000D8260000}"/>
    <cellStyle name="40% - Accent4 3 2 4 5" xfId="13129" xr:uid="{00000000-0005-0000-0000-0000D9260000}"/>
    <cellStyle name="40% - Accent4 3 2 5" xfId="2957" xr:uid="{00000000-0005-0000-0000-0000DA260000}"/>
    <cellStyle name="40% - Accent4 3 2 5 2" xfId="13136" xr:uid="{00000000-0005-0000-0000-0000DB260000}"/>
    <cellStyle name="40% - Accent4 3 2 5 2 2" xfId="13137" xr:uid="{00000000-0005-0000-0000-0000DC260000}"/>
    <cellStyle name="40% - Accent4 3 2 5 3" xfId="13138" xr:uid="{00000000-0005-0000-0000-0000DD260000}"/>
    <cellStyle name="40% - Accent4 3 2 5 3 2" xfId="13139" xr:uid="{00000000-0005-0000-0000-0000DE260000}"/>
    <cellStyle name="40% - Accent4 3 2 5 4" xfId="13140" xr:uid="{00000000-0005-0000-0000-0000DF260000}"/>
    <cellStyle name="40% - Accent4 3 2 5 5" xfId="13135" xr:uid="{00000000-0005-0000-0000-0000E0260000}"/>
    <cellStyle name="40% - Accent4 3 2 6" xfId="3329" xr:uid="{00000000-0005-0000-0000-0000E1260000}"/>
    <cellStyle name="40% - Accent4 3 2 6 2" xfId="13142" xr:uid="{00000000-0005-0000-0000-0000E2260000}"/>
    <cellStyle name="40% - Accent4 3 2 6 2 2" xfId="13143" xr:uid="{00000000-0005-0000-0000-0000E3260000}"/>
    <cellStyle name="40% - Accent4 3 2 6 3" xfId="13144" xr:uid="{00000000-0005-0000-0000-0000E4260000}"/>
    <cellStyle name="40% - Accent4 3 2 6 3 2" xfId="13145" xr:uid="{00000000-0005-0000-0000-0000E5260000}"/>
    <cellStyle name="40% - Accent4 3 2 6 4" xfId="13146" xr:uid="{00000000-0005-0000-0000-0000E6260000}"/>
    <cellStyle name="40% - Accent4 3 2 6 5" xfId="13141" xr:uid="{00000000-0005-0000-0000-0000E7260000}"/>
    <cellStyle name="40% - Accent4 3 2 7" xfId="4583" xr:uid="{00000000-0005-0000-0000-0000E8260000}"/>
    <cellStyle name="40% - Accent4 3 2 7 2" xfId="13148" xr:uid="{00000000-0005-0000-0000-0000E9260000}"/>
    <cellStyle name="40% - Accent4 3 2 7 2 2" xfId="13149" xr:uid="{00000000-0005-0000-0000-0000EA260000}"/>
    <cellStyle name="40% - Accent4 3 2 7 3" xfId="13150" xr:uid="{00000000-0005-0000-0000-0000EB260000}"/>
    <cellStyle name="40% - Accent4 3 2 7 3 2" xfId="13151" xr:uid="{00000000-0005-0000-0000-0000EC260000}"/>
    <cellStyle name="40% - Accent4 3 2 7 4" xfId="13152" xr:uid="{00000000-0005-0000-0000-0000ED260000}"/>
    <cellStyle name="40% - Accent4 3 2 7 5" xfId="13147" xr:uid="{00000000-0005-0000-0000-0000EE260000}"/>
    <cellStyle name="40% - Accent4 3 2 8" xfId="13153" xr:uid="{00000000-0005-0000-0000-0000EF260000}"/>
    <cellStyle name="40% - Accent4 3 2 8 2" xfId="13154" xr:uid="{00000000-0005-0000-0000-0000F0260000}"/>
    <cellStyle name="40% - Accent4 3 2 8 2 2" xfId="13155" xr:uid="{00000000-0005-0000-0000-0000F1260000}"/>
    <cellStyle name="40% - Accent4 3 2 8 3" xfId="13156" xr:uid="{00000000-0005-0000-0000-0000F2260000}"/>
    <cellStyle name="40% - Accent4 3 2 8 3 2" xfId="13157" xr:uid="{00000000-0005-0000-0000-0000F3260000}"/>
    <cellStyle name="40% - Accent4 3 2 8 4" xfId="13158" xr:uid="{00000000-0005-0000-0000-0000F4260000}"/>
    <cellStyle name="40% - Accent4 3 2 9" xfId="13159" xr:uid="{00000000-0005-0000-0000-0000F5260000}"/>
    <cellStyle name="40% - Accent4 3 2 9 2" xfId="13160" xr:uid="{00000000-0005-0000-0000-0000F6260000}"/>
    <cellStyle name="40% - Accent4 3 2 9 2 2" xfId="13161" xr:uid="{00000000-0005-0000-0000-0000F7260000}"/>
    <cellStyle name="40% - Accent4 3 2 9 3" xfId="13162" xr:uid="{00000000-0005-0000-0000-0000F8260000}"/>
    <cellStyle name="40% - Accent4 3 2 9 3 2" xfId="13163" xr:uid="{00000000-0005-0000-0000-0000F9260000}"/>
    <cellStyle name="40% - Accent4 3 2 9 4" xfId="13164" xr:uid="{00000000-0005-0000-0000-0000FA260000}"/>
    <cellStyle name="40% - Accent4 3 3" xfId="1584" xr:uid="{00000000-0005-0000-0000-0000FB260000}"/>
    <cellStyle name="40% - Accent4 3 3 2" xfId="1913" xr:uid="{00000000-0005-0000-0000-0000FC260000}"/>
    <cellStyle name="40% - Accent4 3 3 2 2" xfId="13167" xr:uid="{00000000-0005-0000-0000-0000FD260000}"/>
    <cellStyle name="40% - Accent4 3 3 2 3" xfId="13166" xr:uid="{00000000-0005-0000-0000-0000FE260000}"/>
    <cellStyle name="40% - Accent4 3 3 3" xfId="2288" xr:uid="{00000000-0005-0000-0000-0000FF260000}"/>
    <cellStyle name="40% - Accent4 3 3 3 2" xfId="13169" xr:uid="{00000000-0005-0000-0000-000000270000}"/>
    <cellStyle name="40% - Accent4 3 3 3 3" xfId="13168" xr:uid="{00000000-0005-0000-0000-000001270000}"/>
    <cellStyle name="40% - Accent4 3 3 4" xfId="2661" xr:uid="{00000000-0005-0000-0000-000002270000}"/>
    <cellStyle name="40% - Accent4 3 3 4 2" xfId="13171" xr:uid="{00000000-0005-0000-0000-000003270000}"/>
    <cellStyle name="40% - Accent4 3 3 4 3" xfId="13170" xr:uid="{00000000-0005-0000-0000-000004270000}"/>
    <cellStyle name="40% - Accent4 3 3 5" xfId="3034" xr:uid="{00000000-0005-0000-0000-000005270000}"/>
    <cellStyle name="40% - Accent4 3 3 5 2" xfId="13173" xr:uid="{00000000-0005-0000-0000-000006270000}"/>
    <cellStyle name="40% - Accent4 3 3 5 3" xfId="13172" xr:uid="{00000000-0005-0000-0000-000007270000}"/>
    <cellStyle name="40% - Accent4 3 3 6" xfId="3405" xr:uid="{00000000-0005-0000-0000-000008270000}"/>
    <cellStyle name="40% - Accent4 3 3 6 2" xfId="13175" xr:uid="{00000000-0005-0000-0000-000009270000}"/>
    <cellStyle name="40% - Accent4 3 3 6 3" xfId="13174" xr:uid="{00000000-0005-0000-0000-00000A270000}"/>
    <cellStyle name="40% - Accent4 3 3 7" xfId="4584" xr:uid="{00000000-0005-0000-0000-00000B270000}"/>
    <cellStyle name="40% - Accent4 3 3 7 2" xfId="13177" xr:uid="{00000000-0005-0000-0000-00000C270000}"/>
    <cellStyle name="40% - Accent4 3 3 7 3" xfId="13176" xr:uid="{00000000-0005-0000-0000-00000D270000}"/>
    <cellStyle name="40% - Accent4 3 3 8" xfId="13178" xr:uid="{00000000-0005-0000-0000-00000E270000}"/>
    <cellStyle name="40% - Accent4 3 3 9" xfId="13165" xr:uid="{00000000-0005-0000-0000-00000F270000}"/>
    <cellStyle name="40% - Accent4 3 4" xfId="1721" xr:uid="{00000000-0005-0000-0000-000010270000}"/>
    <cellStyle name="40% - Accent4 3 4 2" xfId="1957" xr:uid="{00000000-0005-0000-0000-000011270000}"/>
    <cellStyle name="40% - Accent4 3 4 2 2" xfId="13181" xr:uid="{00000000-0005-0000-0000-000012270000}"/>
    <cellStyle name="40% - Accent4 3 4 2 3" xfId="13180" xr:uid="{00000000-0005-0000-0000-000013270000}"/>
    <cellStyle name="40% - Accent4 3 4 3" xfId="2332" xr:uid="{00000000-0005-0000-0000-000014270000}"/>
    <cellStyle name="40% - Accent4 3 4 3 2" xfId="13183" xr:uid="{00000000-0005-0000-0000-000015270000}"/>
    <cellStyle name="40% - Accent4 3 4 3 3" xfId="13182" xr:uid="{00000000-0005-0000-0000-000016270000}"/>
    <cellStyle name="40% - Accent4 3 4 4" xfId="2705" xr:uid="{00000000-0005-0000-0000-000017270000}"/>
    <cellStyle name="40% - Accent4 3 4 4 2" xfId="13185" xr:uid="{00000000-0005-0000-0000-000018270000}"/>
    <cellStyle name="40% - Accent4 3 4 4 3" xfId="13184" xr:uid="{00000000-0005-0000-0000-000019270000}"/>
    <cellStyle name="40% - Accent4 3 4 5" xfId="3078" xr:uid="{00000000-0005-0000-0000-00001A270000}"/>
    <cellStyle name="40% - Accent4 3 4 5 2" xfId="13187" xr:uid="{00000000-0005-0000-0000-00001B270000}"/>
    <cellStyle name="40% - Accent4 3 4 5 3" xfId="13186" xr:uid="{00000000-0005-0000-0000-00001C270000}"/>
    <cellStyle name="40% - Accent4 3 4 6" xfId="3449" xr:uid="{00000000-0005-0000-0000-00001D270000}"/>
    <cellStyle name="40% - Accent4 3 4 6 2" xfId="13189" xr:uid="{00000000-0005-0000-0000-00001E270000}"/>
    <cellStyle name="40% - Accent4 3 4 6 3" xfId="13188" xr:uid="{00000000-0005-0000-0000-00001F270000}"/>
    <cellStyle name="40% - Accent4 3 4 7" xfId="13190" xr:uid="{00000000-0005-0000-0000-000020270000}"/>
    <cellStyle name="40% - Accent4 3 4 8" xfId="13179" xr:uid="{00000000-0005-0000-0000-000021270000}"/>
    <cellStyle name="40% - Accent4 3 5" xfId="2056" xr:uid="{00000000-0005-0000-0000-000022270000}"/>
    <cellStyle name="40% - Accent4 3 5 2" xfId="13192" xr:uid="{00000000-0005-0000-0000-000023270000}"/>
    <cellStyle name="40% - Accent4 3 5 2 2" xfId="13193" xr:uid="{00000000-0005-0000-0000-000024270000}"/>
    <cellStyle name="40% - Accent4 3 5 3" xfId="13194" xr:uid="{00000000-0005-0000-0000-000025270000}"/>
    <cellStyle name="40% - Accent4 3 5 3 2" xfId="13195" xr:uid="{00000000-0005-0000-0000-000026270000}"/>
    <cellStyle name="40% - Accent4 3 5 4" xfId="13196" xr:uid="{00000000-0005-0000-0000-000027270000}"/>
    <cellStyle name="40% - Accent4 3 5 4 2" xfId="13197" xr:uid="{00000000-0005-0000-0000-000028270000}"/>
    <cellStyle name="40% - Accent4 3 5 5" xfId="13198" xr:uid="{00000000-0005-0000-0000-000029270000}"/>
    <cellStyle name="40% - Accent4 3 5 6" xfId="13191" xr:uid="{00000000-0005-0000-0000-00002A270000}"/>
    <cellStyle name="40% - Accent4 3 6" xfId="2430" xr:uid="{00000000-0005-0000-0000-00002B270000}"/>
    <cellStyle name="40% - Accent4 3 6 2" xfId="13200" xr:uid="{00000000-0005-0000-0000-00002C270000}"/>
    <cellStyle name="40% - Accent4 3 6 2 2" xfId="13201" xr:uid="{00000000-0005-0000-0000-00002D270000}"/>
    <cellStyle name="40% - Accent4 3 6 3" xfId="13202" xr:uid="{00000000-0005-0000-0000-00002E270000}"/>
    <cellStyle name="40% - Accent4 3 6 3 2" xfId="13203" xr:uid="{00000000-0005-0000-0000-00002F270000}"/>
    <cellStyle name="40% - Accent4 3 6 4" xfId="13204" xr:uid="{00000000-0005-0000-0000-000030270000}"/>
    <cellStyle name="40% - Accent4 3 6 4 2" xfId="13205" xr:uid="{00000000-0005-0000-0000-000031270000}"/>
    <cellStyle name="40% - Accent4 3 6 5" xfId="13206" xr:uid="{00000000-0005-0000-0000-000032270000}"/>
    <cellStyle name="40% - Accent4 3 6 6" xfId="13199" xr:uid="{00000000-0005-0000-0000-000033270000}"/>
    <cellStyle name="40% - Accent4 3 7" xfId="2802" xr:uid="{00000000-0005-0000-0000-000034270000}"/>
    <cellStyle name="40% - Accent4 3 7 2" xfId="13208" xr:uid="{00000000-0005-0000-0000-000035270000}"/>
    <cellStyle name="40% - Accent4 3 7 2 2" xfId="13209" xr:uid="{00000000-0005-0000-0000-000036270000}"/>
    <cellStyle name="40% - Accent4 3 7 3" xfId="13210" xr:uid="{00000000-0005-0000-0000-000037270000}"/>
    <cellStyle name="40% - Accent4 3 7 3 2" xfId="13211" xr:uid="{00000000-0005-0000-0000-000038270000}"/>
    <cellStyle name="40% - Accent4 3 7 4" xfId="13212" xr:uid="{00000000-0005-0000-0000-000039270000}"/>
    <cellStyle name="40% - Accent4 3 7 4 2" xfId="13213" xr:uid="{00000000-0005-0000-0000-00003A270000}"/>
    <cellStyle name="40% - Accent4 3 7 5" xfId="13214" xr:uid="{00000000-0005-0000-0000-00003B270000}"/>
    <cellStyle name="40% - Accent4 3 7 6" xfId="13207" xr:uid="{00000000-0005-0000-0000-00003C270000}"/>
    <cellStyle name="40% - Accent4 3 8" xfId="3173" xr:uid="{00000000-0005-0000-0000-00003D270000}"/>
    <cellStyle name="40% - Accent4 3 8 2" xfId="13216" xr:uid="{00000000-0005-0000-0000-00003E270000}"/>
    <cellStyle name="40% - Accent4 3 8 2 2" xfId="13217" xr:uid="{00000000-0005-0000-0000-00003F270000}"/>
    <cellStyle name="40% - Accent4 3 8 3" xfId="13218" xr:uid="{00000000-0005-0000-0000-000040270000}"/>
    <cellStyle name="40% - Accent4 3 8 3 2" xfId="13219" xr:uid="{00000000-0005-0000-0000-000041270000}"/>
    <cellStyle name="40% - Accent4 3 8 4" xfId="13220" xr:uid="{00000000-0005-0000-0000-000042270000}"/>
    <cellStyle name="40% - Accent4 3 8 4 2" xfId="13221" xr:uid="{00000000-0005-0000-0000-000043270000}"/>
    <cellStyle name="40% - Accent4 3 8 5" xfId="13222" xr:uid="{00000000-0005-0000-0000-000044270000}"/>
    <cellStyle name="40% - Accent4 3 8 6" xfId="13215" xr:uid="{00000000-0005-0000-0000-000045270000}"/>
    <cellStyle name="40% - Accent4 3 9" xfId="3548" xr:uid="{00000000-0005-0000-0000-000046270000}"/>
    <cellStyle name="40% - Accent4 3 9 2" xfId="4585" xr:uid="{00000000-0005-0000-0000-000047270000}"/>
    <cellStyle name="40% - Accent4 3 9 2 2" xfId="13225" xr:uid="{00000000-0005-0000-0000-000048270000}"/>
    <cellStyle name="40% - Accent4 3 9 2 3" xfId="13224" xr:uid="{00000000-0005-0000-0000-000049270000}"/>
    <cellStyle name="40% - Accent4 3 9 3" xfId="13226" xr:uid="{00000000-0005-0000-0000-00004A270000}"/>
    <cellStyle name="40% - Accent4 3 9 3 2" xfId="13227" xr:uid="{00000000-0005-0000-0000-00004B270000}"/>
    <cellStyle name="40% - Accent4 3 9 4" xfId="13228" xr:uid="{00000000-0005-0000-0000-00004C270000}"/>
    <cellStyle name="40% - Accent4 3 9 4 2" xfId="13229" xr:uid="{00000000-0005-0000-0000-00004D270000}"/>
    <cellStyle name="40% - Accent4 3 9 5" xfId="13230" xr:uid="{00000000-0005-0000-0000-00004E270000}"/>
    <cellStyle name="40% - Accent4 3 9 5 2" xfId="13231" xr:uid="{00000000-0005-0000-0000-00004F270000}"/>
    <cellStyle name="40% - Accent4 3 9 6" xfId="13232" xr:uid="{00000000-0005-0000-0000-000050270000}"/>
    <cellStyle name="40% - Accent4 3 9 7" xfId="13223" xr:uid="{00000000-0005-0000-0000-000051270000}"/>
    <cellStyle name="40% - Accent4 30" xfId="13233" xr:uid="{00000000-0005-0000-0000-000052270000}"/>
    <cellStyle name="40% - Accent4 31" xfId="12716" xr:uid="{00000000-0005-0000-0000-000053270000}"/>
    <cellStyle name="40% - Accent4 4" xfId="244" xr:uid="{00000000-0005-0000-0000-000054270000}"/>
    <cellStyle name="40% - Accent4 4 10" xfId="3728" xr:uid="{00000000-0005-0000-0000-000055270000}"/>
    <cellStyle name="40% - Accent4 4 10 2" xfId="4587" xr:uid="{00000000-0005-0000-0000-000056270000}"/>
    <cellStyle name="40% - Accent4 4 10 2 2" xfId="13237" xr:uid="{00000000-0005-0000-0000-000057270000}"/>
    <cellStyle name="40% - Accent4 4 10 2 3" xfId="13236" xr:uid="{00000000-0005-0000-0000-000058270000}"/>
    <cellStyle name="40% - Accent4 4 10 3" xfId="13238" xr:uid="{00000000-0005-0000-0000-000059270000}"/>
    <cellStyle name="40% - Accent4 4 10 3 2" xfId="13239" xr:uid="{00000000-0005-0000-0000-00005A270000}"/>
    <cellStyle name="40% - Accent4 4 10 4" xfId="13240" xr:uid="{00000000-0005-0000-0000-00005B270000}"/>
    <cellStyle name="40% - Accent4 4 10 4 2" xfId="13241" xr:uid="{00000000-0005-0000-0000-00005C270000}"/>
    <cellStyle name="40% - Accent4 4 10 5" xfId="13242" xr:uid="{00000000-0005-0000-0000-00005D270000}"/>
    <cellStyle name="40% - Accent4 4 10 5 2" xfId="13243" xr:uid="{00000000-0005-0000-0000-00005E270000}"/>
    <cellStyle name="40% - Accent4 4 10 6" xfId="13244" xr:uid="{00000000-0005-0000-0000-00005F270000}"/>
    <cellStyle name="40% - Accent4 4 10 7" xfId="13235" xr:uid="{00000000-0005-0000-0000-000060270000}"/>
    <cellStyle name="40% - Accent4 4 11" xfId="1307" xr:uid="{00000000-0005-0000-0000-000061270000}"/>
    <cellStyle name="40% - Accent4 4 11 10" xfId="24883" xr:uid="{00000000-0005-0000-0000-000062270000}"/>
    <cellStyle name="40% - Accent4 4 11 11" xfId="26473" xr:uid="{00000000-0005-0000-0000-000063270000}"/>
    <cellStyle name="40% - Accent4 4 11 2" xfId="4151" xr:uid="{00000000-0005-0000-0000-000064270000}"/>
    <cellStyle name="40% - Accent4 4 11 2 2" xfId="5414" xr:uid="{00000000-0005-0000-0000-000065270000}"/>
    <cellStyle name="40% - Accent4 4 11 2 2 2" xfId="6360" xr:uid="{00000000-0005-0000-0000-000066270000}"/>
    <cellStyle name="40% - Accent4 4 11 2 2 2 2" xfId="13248" xr:uid="{00000000-0005-0000-0000-000067270000}"/>
    <cellStyle name="40% - Accent4 4 11 2 2 2 3" xfId="26476" xr:uid="{00000000-0005-0000-0000-000068270000}"/>
    <cellStyle name="40% - Accent4 4 11 2 2 3" xfId="13247" xr:uid="{00000000-0005-0000-0000-000069270000}"/>
    <cellStyle name="40% - Accent4 4 11 2 2 4" xfId="26475" xr:uid="{00000000-0005-0000-0000-00006A270000}"/>
    <cellStyle name="40% - Accent4 4 11 2 3" xfId="5724" xr:uid="{00000000-0005-0000-0000-00006B270000}"/>
    <cellStyle name="40% - Accent4 4 11 2 3 2" xfId="6361" xr:uid="{00000000-0005-0000-0000-00006C270000}"/>
    <cellStyle name="40% - Accent4 4 11 2 3 2 2" xfId="26478" xr:uid="{00000000-0005-0000-0000-00006D270000}"/>
    <cellStyle name="40% - Accent4 4 11 2 3 3" xfId="13249" xr:uid="{00000000-0005-0000-0000-00006E270000}"/>
    <cellStyle name="40% - Accent4 4 11 2 3 4" xfId="26477" xr:uid="{00000000-0005-0000-0000-00006F270000}"/>
    <cellStyle name="40% - Accent4 4 11 2 4" xfId="4589" xr:uid="{00000000-0005-0000-0000-000070270000}"/>
    <cellStyle name="40% - Accent4 4 11 2 4 2" xfId="6362" xr:uid="{00000000-0005-0000-0000-000071270000}"/>
    <cellStyle name="40% - Accent4 4 11 2 4 2 2" xfId="26480" xr:uid="{00000000-0005-0000-0000-000072270000}"/>
    <cellStyle name="40% - Accent4 4 11 2 4 3" xfId="26479" xr:uid="{00000000-0005-0000-0000-000073270000}"/>
    <cellStyle name="40% - Accent4 4 11 2 5" xfId="6359" xr:uid="{00000000-0005-0000-0000-000074270000}"/>
    <cellStyle name="40% - Accent4 4 11 2 5 2" xfId="26481" xr:uid="{00000000-0005-0000-0000-000075270000}"/>
    <cellStyle name="40% - Accent4 4 11 2 6" xfId="13246" xr:uid="{00000000-0005-0000-0000-000076270000}"/>
    <cellStyle name="40% - Accent4 4 11 2 7" xfId="25003" xr:uid="{00000000-0005-0000-0000-000077270000}"/>
    <cellStyle name="40% - Accent4 4 11 2 8" xfId="26474" xr:uid="{00000000-0005-0000-0000-000078270000}"/>
    <cellStyle name="40% - Accent4 4 11 3" xfId="5413" xr:uid="{00000000-0005-0000-0000-000079270000}"/>
    <cellStyle name="40% - Accent4 4 11 3 2" xfId="6363" xr:uid="{00000000-0005-0000-0000-00007A270000}"/>
    <cellStyle name="40% - Accent4 4 11 3 2 2" xfId="13251" xr:uid="{00000000-0005-0000-0000-00007B270000}"/>
    <cellStyle name="40% - Accent4 4 11 3 2 3" xfId="26483" xr:uid="{00000000-0005-0000-0000-00007C270000}"/>
    <cellStyle name="40% - Accent4 4 11 3 3" xfId="13250" xr:uid="{00000000-0005-0000-0000-00007D270000}"/>
    <cellStyle name="40% - Accent4 4 11 3 4" xfId="26482" xr:uid="{00000000-0005-0000-0000-00007E270000}"/>
    <cellStyle name="40% - Accent4 4 11 4" xfId="5723" xr:uid="{00000000-0005-0000-0000-00007F270000}"/>
    <cellStyle name="40% - Accent4 4 11 4 2" xfId="6364" xr:uid="{00000000-0005-0000-0000-000080270000}"/>
    <cellStyle name="40% - Accent4 4 11 4 2 2" xfId="13253" xr:uid="{00000000-0005-0000-0000-000081270000}"/>
    <cellStyle name="40% - Accent4 4 11 4 2 3" xfId="26485" xr:uid="{00000000-0005-0000-0000-000082270000}"/>
    <cellStyle name="40% - Accent4 4 11 4 3" xfId="13252" xr:uid="{00000000-0005-0000-0000-000083270000}"/>
    <cellStyle name="40% - Accent4 4 11 4 4" xfId="26484" xr:uid="{00000000-0005-0000-0000-000084270000}"/>
    <cellStyle name="40% - Accent4 4 11 5" xfId="4588" xr:uid="{00000000-0005-0000-0000-000085270000}"/>
    <cellStyle name="40% - Accent4 4 11 5 2" xfId="6365" xr:uid="{00000000-0005-0000-0000-000086270000}"/>
    <cellStyle name="40% - Accent4 4 11 5 2 2" xfId="13256" xr:uid="{00000000-0005-0000-0000-000087270000}"/>
    <cellStyle name="40% - Accent4 4 11 5 2 3" xfId="13255" xr:uid="{00000000-0005-0000-0000-000088270000}"/>
    <cellStyle name="40% - Accent4 4 11 5 2 4" xfId="26487" xr:uid="{00000000-0005-0000-0000-000089270000}"/>
    <cellStyle name="40% - Accent4 4 11 5 3" xfId="13257" xr:uid="{00000000-0005-0000-0000-00008A270000}"/>
    <cellStyle name="40% - Accent4 4 11 5 3 2" xfId="13258" xr:uid="{00000000-0005-0000-0000-00008B270000}"/>
    <cellStyle name="40% - Accent4 4 11 5 4" xfId="13259" xr:uid="{00000000-0005-0000-0000-00008C270000}"/>
    <cellStyle name="40% - Accent4 4 11 5 5" xfId="13254" xr:uid="{00000000-0005-0000-0000-00008D270000}"/>
    <cellStyle name="40% - Accent4 4 11 5 6" xfId="26486" xr:uid="{00000000-0005-0000-0000-00008E270000}"/>
    <cellStyle name="40% - Accent4 4 11 6" xfId="6358" xr:uid="{00000000-0005-0000-0000-00008F270000}"/>
    <cellStyle name="40% - Accent4 4 11 6 2" xfId="13261" xr:uid="{00000000-0005-0000-0000-000090270000}"/>
    <cellStyle name="40% - Accent4 4 11 6 3" xfId="13260" xr:uid="{00000000-0005-0000-0000-000091270000}"/>
    <cellStyle name="40% - Accent4 4 11 6 4" xfId="26488" xr:uid="{00000000-0005-0000-0000-000092270000}"/>
    <cellStyle name="40% - Accent4 4 11 7" xfId="13262" xr:uid="{00000000-0005-0000-0000-000093270000}"/>
    <cellStyle name="40% - Accent4 4 11 7 2" xfId="13263" xr:uid="{00000000-0005-0000-0000-000094270000}"/>
    <cellStyle name="40% - Accent4 4 11 8" xfId="13264" xr:uid="{00000000-0005-0000-0000-000095270000}"/>
    <cellStyle name="40% - Accent4 4 11 9" xfId="13245" xr:uid="{00000000-0005-0000-0000-000096270000}"/>
    <cellStyle name="40% - Accent4 4 12" xfId="4590" xr:uid="{00000000-0005-0000-0000-000097270000}"/>
    <cellStyle name="40% - Accent4 4 12 2" xfId="5415" xr:uid="{00000000-0005-0000-0000-000098270000}"/>
    <cellStyle name="40% - Accent4 4 12 2 2" xfId="6367" xr:uid="{00000000-0005-0000-0000-000099270000}"/>
    <cellStyle name="40% - Accent4 4 12 2 2 2" xfId="13267" xr:uid="{00000000-0005-0000-0000-00009A270000}"/>
    <cellStyle name="40% - Accent4 4 12 2 2 3" xfId="26491" xr:uid="{00000000-0005-0000-0000-00009B270000}"/>
    <cellStyle name="40% - Accent4 4 12 2 3" xfId="13266" xr:uid="{00000000-0005-0000-0000-00009C270000}"/>
    <cellStyle name="40% - Accent4 4 12 2 4" xfId="26490" xr:uid="{00000000-0005-0000-0000-00009D270000}"/>
    <cellStyle name="40% - Accent4 4 12 3" xfId="5725" xr:uid="{00000000-0005-0000-0000-00009E270000}"/>
    <cellStyle name="40% - Accent4 4 12 3 2" xfId="6368" xr:uid="{00000000-0005-0000-0000-00009F270000}"/>
    <cellStyle name="40% - Accent4 4 12 3 2 2" xfId="13269" xr:uid="{00000000-0005-0000-0000-0000A0270000}"/>
    <cellStyle name="40% - Accent4 4 12 3 2 3" xfId="26493" xr:uid="{00000000-0005-0000-0000-0000A1270000}"/>
    <cellStyle name="40% - Accent4 4 12 3 3" xfId="13268" xr:uid="{00000000-0005-0000-0000-0000A2270000}"/>
    <cellStyle name="40% - Accent4 4 12 3 4" xfId="26492" xr:uid="{00000000-0005-0000-0000-0000A3270000}"/>
    <cellStyle name="40% - Accent4 4 12 4" xfId="6366" xr:uid="{00000000-0005-0000-0000-0000A4270000}"/>
    <cellStyle name="40% - Accent4 4 12 4 2" xfId="13271" xr:uid="{00000000-0005-0000-0000-0000A5270000}"/>
    <cellStyle name="40% - Accent4 4 12 4 3" xfId="13270" xr:uid="{00000000-0005-0000-0000-0000A6270000}"/>
    <cellStyle name="40% - Accent4 4 12 4 4" xfId="26494" xr:uid="{00000000-0005-0000-0000-0000A7270000}"/>
    <cellStyle name="40% - Accent4 4 12 5" xfId="13272" xr:uid="{00000000-0005-0000-0000-0000A8270000}"/>
    <cellStyle name="40% - Accent4 4 12 6" xfId="13265" xr:uid="{00000000-0005-0000-0000-0000A9270000}"/>
    <cellStyle name="40% - Accent4 4 12 7" xfId="26489" xr:uid="{00000000-0005-0000-0000-0000AA270000}"/>
    <cellStyle name="40% - Accent4 4 13" xfId="5412" xr:uid="{00000000-0005-0000-0000-0000AB270000}"/>
    <cellStyle name="40% - Accent4 4 13 2" xfId="6369" xr:uid="{00000000-0005-0000-0000-0000AC270000}"/>
    <cellStyle name="40% - Accent4 4 13 2 2" xfId="13275" xr:uid="{00000000-0005-0000-0000-0000AD270000}"/>
    <cellStyle name="40% - Accent4 4 13 2 3" xfId="13274" xr:uid="{00000000-0005-0000-0000-0000AE270000}"/>
    <cellStyle name="40% - Accent4 4 13 2 4" xfId="26496" xr:uid="{00000000-0005-0000-0000-0000AF270000}"/>
    <cellStyle name="40% - Accent4 4 13 3" xfId="13276" xr:uid="{00000000-0005-0000-0000-0000B0270000}"/>
    <cellStyle name="40% - Accent4 4 13 3 2" xfId="13277" xr:uid="{00000000-0005-0000-0000-0000B1270000}"/>
    <cellStyle name="40% - Accent4 4 13 4" xfId="13278" xr:uid="{00000000-0005-0000-0000-0000B2270000}"/>
    <cellStyle name="40% - Accent4 4 13 5" xfId="13273" xr:uid="{00000000-0005-0000-0000-0000B3270000}"/>
    <cellStyle name="40% - Accent4 4 13 6" xfId="26495" xr:uid="{00000000-0005-0000-0000-0000B4270000}"/>
    <cellStyle name="40% - Accent4 4 14" xfId="5722" xr:uid="{00000000-0005-0000-0000-0000B5270000}"/>
    <cellStyle name="40% - Accent4 4 14 2" xfId="6370" xr:uid="{00000000-0005-0000-0000-0000B6270000}"/>
    <cellStyle name="40% - Accent4 4 14 2 2" xfId="13280" xr:uid="{00000000-0005-0000-0000-0000B7270000}"/>
    <cellStyle name="40% - Accent4 4 14 2 3" xfId="26498" xr:uid="{00000000-0005-0000-0000-0000B8270000}"/>
    <cellStyle name="40% - Accent4 4 14 3" xfId="13279" xr:uid="{00000000-0005-0000-0000-0000B9270000}"/>
    <cellStyle name="40% - Accent4 4 14 4" xfId="26497" xr:uid="{00000000-0005-0000-0000-0000BA270000}"/>
    <cellStyle name="40% - Accent4 4 15" xfId="4586" xr:uid="{00000000-0005-0000-0000-0000BB270000}"/>
    <cellStyle name="40% - Accent4 4 15 2" xfId="6371" xr:uid="{00000000-0005-0000-0000-0000BC270000}"/>
    <cellStyle name="40% - Accent4 4 15 2 2" xfId="13282" xr:uid="{00000000-0005-0000-0000-0000BD270000}"/>
    <cellStyle name="40% - Accent4 4 15 2 3" xfId="26500" xr:uid="{00000000-0005-0000-0000-0000BE270000}"/>
    <cellStyle name="40% - Accent4 4 15 3" xfId="13281" xr:uid="{00000000-0005-0000-0000-0000BF270000}"/>
    <cellStyle name="40% - Accent4 4 15 4" xfId="26499" xr:uid="{00000000-0005-0000-0000-0000C0270000}"/>
    <cellStyle name="40% - Accent4 4 16" xfId="13283" xr:uid="{00000000-0005-0000-0000-0000C1270000}"/>
    <cellStyle name="40% - Accent4 4 16 2" xfId="13284" xr:uid="{00000000-0005-0000-0000-0000C2270000}"/>
    <cellStyle name="40% - Accent4 4 17" xfId="13285" xr:uid="{00000000-0005-0000-0000-0000C3270000}"/>
    <cellStyle name="40% - Accent4 4 17 2" xfId="13286" xr:uid="{00000000-0005-0000-0000-0000C4270000}"/>
    <cellStyle name="40% - Accent4 4 17 2 2" xfId="13287" xr:uid="{00000000-0005-0000-0000-0000C5270000}"/>
    <cellStyle name="40% - Accent4 4 17 3" xfId="13288" xr:uid="{00000000-0005-0000-0000-0000C6270000}"/>
    <cellStyle name="40% - Accent4 4 17 3 2" xfId="13289" xr:uid="{00000000-0005-0000-0000-0000C7270000}"/>
    <cellStyle name="40% - Accent4 4 17 4" xfId="13290" xr:uid="{00000000-0005-0000-0000-0000C8270000}"/>
    <cellStyle name="40% - Accent4 4 18" xfId="13291" xr:uid="{00000000-0005-0000-0000-0000C9270000}"/>
    <cellStyle name="40% - Accent4 4 18 2" xfId="13292" xr:uid="{00000000-0005-0000-0000-0000CA270000}"/>
    <cellStyle name="40% - Accent4 4 19" xfId="13293" xr:uid="{00000000-0005-0000-0000-0000CB270000}"/>
    <cellStyle name="40% - Accent4 4 19 2" xfId="13294" xr:uid="{00000000-0005-0000-0000-0000CC270000}"/>
    <cellStyle name="40% - Accent4 4 2" xfId="1502" xr:uid="{00000000-0005-0000-0000-0000CD270000}"/>
    <cellStyle name="40% - Accent4 4 2 10" xfId="13296" xr:uid="{00000000-0005-0000-0000-0000CE270000}"/>
    <cellStyle name="40% - Accent4 4 2 10 2" xfId="13297" xr:uid="{00000000-0005-0000-0000-0000CF270000}"/>
    <cellStyle name="40% - Accent4 4 2 10 2 2" xfId="13298" xr:uid="{00000000-0005-0000-0000-0000D0270000}"/>
    <cellStyle name="40% - Accent4 4 2 10 3" xfId="13299" xr:uid="{00000000-0005-0000-0000-0000D1270000}"/>
    <cellStyle name="40% - Accent4 4 2 10 3 2" xfId="13300" xr:uid="{00000000-0005-0000-0000-0000D2270000}"/>
    <cellStyle name="40% - Accent4 4 2 10 4" xfId="13301" xr:uid="{00000000-0005-0000-0000-0000D3270000}"/>
    <cellStyle name="40% - Accent4 4 2 11" xfId="13302" xr:uid="{00000000-0005-0000-0000-0000D4270000}"/>
    <cellStyle name="40% - Accent4 4 2 11 2" xfId="13303" xr:uid="{00000000-0005-0000-0000-0000D5270000}"/>
    <cellStyle name="40% - Accent4 4 2 11 2 2" xfId="13304" xr:uid="{00000000-0005-0000-0000-0000D6270000}"/>
    <cellStyle name="40% - Accent4 4 2 11 3" xfId="13305" xr:uid="{00000000-0005-0000-0000-0000D7270000}"/>
    <cellStyle name="40% - Accent4 4 2 11 3 2" xfId="13306" xr:uid="{00000000-0005-0000-0000-0000D8270000}"/>
    <cellStyle name="40% - Accent4 4 2 11 4" xfId="13307" xr:uid="{00000000-0005-0000-0000-0000D9270000}"/>
    <cellStyle name="40% - Accent4 4 2 12" xfId="13308" xr:uid="{00000000-0005-0000-0000-0000DA270000}"/>
    <cellStyle name="40% - Accent4 4 2 12 2" xfId="13309" xr:uid="{00000000-0005-0000-0000-0000DB270000}"/>
    <cellStyle name="40% - Accent4 4 2 12 2 2" xfId="13310" xr:uid="{00000000-0005-0000-0000-0000DC270000}"/>
    <cellStyle name="40% - Accent4 4 2 12 3" xfId="13311" xr:uid="{00000000-0005-0000-0000-0000DD270000}"/>
    <cellStyle name="40% - Accent4 4 2 12 3 2" xfId="13312" xr:uid="{00000000-0005-0000-0000-0000DE270000}"/>
    <cellStyle name="40% - Accent4 4 2 12 4" xfId="13313" xr:uid="{00000000-0005-0000-0000-0000DF270000}"/>
    <cellStyle name="40% - Accent4 4 2 13" xfId="13314" xr:uid="{00000000-0005-0000-0000-0000E0270000}"/>
    <cellStyle name="40% - Accent4 4 2 13 2" xfId="13315" xr:uid="{00000000-0005-0000-0000-0000E1270000}"/>
    <cellStyle name="40% - Accent4 4 2 14" xfId="13316" xr:uid="{00000000-0005-0000-0000-0000E2270000}"/>
    <cellStyle name="40% - Accent4 4 2 14 2" xfId="13317" xr:uid="{00000000-0005-0000-0000-0000E3270000}"/>
    <cellStyle name="40% - Accent4 4 2 15" xfId="13318" xr:uid="{00000000-0005-0000-0000-0000E4270000}"/>
    <cellStyle name="40% - Accent4 4 2 15 2" xfId="13319" xr:uid="{00000000-0005-0000-0000-0000E5270000}"/>
    <cellStyle name="40% - Accent4 4 2 16" xfId="13320" xr:uid="{00000000-0005-0000-0000-0000E6270000}"/>
    <cellStyle name="40% - Accent4 4 2 16 2" xfId="13321" xr:uid="{00000000-0005-0000-0000-0000E7270000}"/>
    <cellStyle name="40% - Accent4 4 2 17" xfId="13322" xr:uid="{00000000-0005-0000-0000-0000E8270000}"/>
    <cellStyle name="40% - Accent4 4 2 18" xfId="13295" xr:uid="{00000000-0005-0000-0000-0000E9270000}"/>
    <cellStyle name="40% - Accent4 4 2 2" xfId="4591" xr:uid="{00000000-0005-0000-0000-0000EA270000}"/>
    <cellStyle name="40% - Accent4 4 2 2 2" xfId="13324" xr:uid="{00000000-0005-0000-0000-0000EB270000}"/>
    <cellStyle name="40% - Accent4 4 2 2 2 2" xfId="13325" xr:uid="{00000000-0005-0000-0000-0000EC270000}"/>
    <cellStyle name="40% - Accent4 4 2 2 3" xfId="13326" xr:uid="{00000000-0005-0000-0000-0000ED270000}"/>
    <cellStyle name="40% - Accent4 4 2 2 3 2" xfId="13327" xr:uid="{00000000-0005-0000-0000-0000EE270000}"/>
    <cellStyle name="40% - Accent4 4 2 2 4" xfId="13328" xr:uid="{00000000-0005-0000-0000-0000EF270000}"/>
    <cellStyle name="40% - Accent4 4 2 2 5" xfId="13323" xr:uid="{00000000-0005-0000-0000-0000F0270000}"/>
    <cellStyle name="40% - Accent4 4 2 3" xfId="13329" xr:uid="{00000000-0005-0000-0000-0000F1270000}"/>
    <cellStyle name="40% - Accent4 4 2 3 2" xfId="13330" xr:uid="{00000000-0005-0000-0000-0000F2270000}"/>
    <cellStyle name="40% - Accent4 4 2 3 2 2" xfId="13331" xr:uid="{00000000-0005-0000-0000-0000F3270000}"/>
    <cellStyle name="40% - Accent4 4 2 3 3" xfId="13332" xr:uid="{00000000-0005-0000-0000-0000F4270000}"/>
    <cellStyle name="40% - Accent4 4 2 3 3 2" xfId="13333" xr:uid="{00000000-0005-0000-0000-0000F5270000}"/>
    <cellStyle name="40% - Accent4 4 2 3 4" xfId="13334" xr:uid="{00000000-0005-0000-0000-0000F6270000}"/>
    <cellStyle name="40% - Accent4 4 2 4" xfId="13335" xr:uid="{00000000-0005-0000-0000-0000F7270000}"/>
    <cellStyle name="40% - Accent4 4 2 4 2" xfId="13336" xr:uid="{00000000-0005-0000-0000-0000F8270000}"/>
    <cellStyle name="40% - Accent4 4 2 4 2 2" xfId="13337" xr:uid="{00000000-0005-0000-0000-0000F9270000}"/>
    <cellStyle name="40% - Accent4 4 2 4 3" xfId="13338" xr:uid="{00000000-0005-0000-0000-0000FA270000}"/>
    <cellStyle name="40% - Accent4 4 2 4 3 2" xfId="13339" xr:uid="{00000000-0005-0000-0000-0000FB270000}"/>
    <cellStyle name="40% - Accent4 4 2 4 4" xfId="13340" xr:uid="{00000000-0005-0000-0000-0000FC270000}"/>
    <cellStyle name="40% - Accent4 4 2 5" xfId="13341" xr:uid="{00000000-0005-0000-0000-0000FD270000}"/>
    <cellStyle name="40% - Accent4 4 2 5 2" xfId="13342" xr:uid="{00000000-0005-0000-0000-0000FE270000}"/>
    <cellStyle name="40% - Accent4 4 2 5 2 2" xfId="13343" xr:uid="{00000000-0005-0000-0000-0000FF270000}"/>
    <cellStyle name="40% - Accent4 4 2 5 3" xfId="13344" xr:uid="{00000000-0005-0000-0000-000000280000}"/>
    <cellStyle name="40% - Accent4 4 2 5 3 2" xfId="13345" xr:uid="{00000000-0005-0000-0000-000001280000}"/>
    <cellStyle name="40% - Accent4 4 2 5 4" xfId="13346" xr:uid="{00000000-0005-0000-0000-000002280000}"/>
    <cellStyle name="40% - Accent4 4 2 6" xfId="13347" xr:uid="{00000000-0005-0000-0000-000003280000}"/>
    <cellStyle name="40% - Accent4 4 2 6 2" xfId="13348" xr:uid="{00000000-0005-0000-0000-000004280000}"/>
    <cellStyle name="40% - Accent4 4 2 6 2 2" xfId="13349" xr:uid="{00000000-0005-0000-0000-000005280000}"/>
    <cellStyle name="40% - Accent4 4 2 6 3" xfId="13350" xr:uid="{00000000-0005-0000-0000-000006280000}"/>
    <cellStyle name="40% - Accent4 4 2 6 3 2" xfId="13351" xr:uid="{00000000-0005-0000-0000-000007280000}"/>
    <cellStyle name="40% - Accent4 4 2 6 4" xfId="13352" xr:uid="{00000000-0005-0000-0000-000008280000}"/>
    <cellStyle name="40% - Accent4 4 2 7" xfId="13353" xr:uid="{00000000-0005-0000-0000-000009280000}"/>
    <cellStyle name="40% - Accent4 4 2 7 2" xfId="13354" xr:uid="{00000000-0005-0000-0000-00000A280000}"/>
    <cellStyle name="40% - Accent4 4 2 7 2 2" xfId="13355" xr:uid="{00000000-0005-0000-0000-00000B280000}"/>
    <cellStyle name="40% - Accent4 4 2 7 3" xfId="13356" xr:uid="{00000000-0005-0000-0000-00000C280000}"/>
    <cellStyle name="40% - Accent4 4 2 7 3 2" xfId="13357" xr:uid="{00000000-0005-0000-0000-00000D280000}"/>
    <cellStyle name="40% - Accent4 4 2 7 4" xfId="13358" xr:uid="{00000000-0005-0000-0000-00000E280000}"/>
    <cellStyle name="40% - Accent4 4 2 8" xfId="13359" xr:uid="{00000000-0005-0000-0000-00000F280000}"/>
    <cellStyle name="40% - Accent4 4 2 8 2" xfId="13360" xr:uid="{00000000-0005-0000-0000-000010280000}"/>
    <cellStyle name="40% - Accent4 4 2 8 2 2" xfId="13361" xr:uid="{00000000-0005-0000-0000-000011280000}"/>
    <cellStyle name="40% - Accent4 4 2 8 3" xfId="13362" xr:uid="{00000000-0005-0000-0000-000012280000}"/>
    <cellStyle name="40% - Accent4 4 2 8 3 2" xfId="13363" xr:uid="{00000000-0005-0000-0000-000013280000}"/>
    <cellStyle name="40% - Accent4 4 2 8 4" xfId="13364" xr:uid="{00000000-0005-0000-0000-000014280000}"/>
    <cellStyle name="40% - Accent4 4 2 9" xfId="13365" xr:uid="{00000000-0005-0000-0000-000015280000}"/>
    <cellStyle name="40% - Accent4 4 2 9 2" xfId="13366" xr:uid="{00000000-0005-0000-0000-000016280000}"/>
    <cellStyle name="40% - Accent4 4 2 9 2 2" xfId="13367" xr:uid="{00000000-0005-0000-0000-000017280000}"/>
    <cellStyle name="40% - Accent4 4 2 9 3" xfId="13368" xr:uid="{00000000-0005-0000-0000-000018280000}"/>
    <cellStyle name="40% - Accent4 4 2 9 3 2" xfId="13369" xr:uid="{00000000-0005-0000-0000-000019280000}"/>
    <cellStyle name="40% - Accent4 4 2 9 4" xfId="13370" xr:uid="{00000000-0005-0000-0000-00001A280000}"/>
    <cellStyle name="40% - Accent4 4 20" xfId="13371" xr:uid="{00000000-0005-0000-0000-00001B280000}"/>
    <cellStyle name="40% - Accent4 4 21" xfId="13234" xr:uid="{00000000-0005-0000-0000-00001C280000}"/>
    <cellStyle name="40% - Accent4 4 3" xfId="1627" xr:uid="{00000000-0005-0000-0000-00001D280000}"/>
    <cellStyle name="40% - Accent4 4 3 2" xfId="4592" xr:uid="{00000000-0005-0000-0000-00001E280000}"/>
    <cellStyle name="40% - Accent4 4 3 2 2" xfId="13374" xr:uid="{00000000-0005-0000-0000-00001F280000}"/>
    <cellStyle name="40% - Accent4 4 3 2 3" xfId="13373" xr:uid="{00000000-0005-0000-0000-000020280000}"/>
    <cellStyle name="40% - Accent4 4 3 3" xfId="13375" xr:uid="{00000000-0005-0000-0000-000021280000}"/>
    <cellStyle name="40% - Accent4 4 3 3 2" xfId="13376" xr:uid="{00000000-0005-0000-0000-000022280000}"/>
    <cellStyle name="40% - Accent4 4 3 4" xfId="13377" xr:uid="{00000000-0005-0000-0000-000023280000}"/>
    <cellStyle name="40% - Accent4 4 3 4 2" xfId="13378" xr:uid="{00000000-0005-0000-0000-000024280000}"/>
    <cellStyle name="40% - Accent4 4 3 5" xfId="13379" xr:uid="{00000000-0005-0000-0000-000025280000}"/>
    <cellStyle name="40% - Accent4 4 3 5 2" xfId="13380" xr:uid="{00000000-0005-0000-0000-000026280000}"/>
    <cellStyle name="40% - Accent4 4 3 6" xfId="13381" xr:uid="{00000000-0005-0000-0000-000027280000}"/>
    <cellStyle name="40% - Accent4 4 3 7" xfId="13372" xr:uid="{00000000-0005-0000-0000-000028280000}"/>
    <cellStyle name="40% - Accent4 4 4" xfId="1752" xr:uid="{00000000-0005-0000-0000-000029280000}"/>
    <cellStyle name="40% - Accent4 4 4 2" xfId="13383" xr:uid="{00000000-0005-0000-0000-00002A280000}"/>
    <cellStyle name="40% - Accent4 4 4 2 2" xfId="13384" xr:uid="{00000000-0005-0000-0000-00002B280000}"/>
    <cellStyle name="40% - Accent4 4 4 3" xfId="13385" xr:uid="{00000000-0005-0000-0000-00002C280000}"/>
    <cellStyle name="40% - Accent4 4 4 3 2" xfId="13386" xr:uid="{00000000-0005-0000-0000-00002D280000}"/>
    <cellStyle name="40% - Accent4 4 4 4" xfId="13387" xr:uid="{00000000-0005-0000-0000-00002E280000}"/>
    <cellStyle name="40% - Accent4 4 4 4 2" xfId="13388" xr:uid="{00000000-0005-0000-0000-00002F280000}"/>
    <cellStyle name="40% - Accent4 4 4 5" xfId="13389" xr:uid="{00000000-0005-0000-0000-000030280000}"/>
    <cellStyle name="40% - Accent4 4 4 6" xfId="13382" xr:uid="{00000000-0005-0000-0000-000031280000}"/>
    <cellStyle name="40% - Accent4 4 5" xfId="2087" xr:uid="{00000000-0005-0000-0000-000032280000}"/>
    <cellStyle name="40% - Accent4 4 5 2" xfId="13391" xr:uid="{00000000-0005-0000-0000-000033280000}"/>
    <cellStyle name="40% - Accent4 4 5 2 2" xfId="13392" xr:uid="{00000000-0005-0000-0000-000034280000}"/>
    <cellStyle name="40% - Accent4 4 5 3" xfId="13393" xr:uid="{00000000-0005-0000-0000-000035280000}"/>
    <cellStyle name="40% - Accent4 4 5 3 2" xfId="13394" xr:uid="{00000000-0005-0000-0000-000036280000}"/>
    <cellStyle name="40% - Accent4 4 5 4" xfId="13395" xr:uid="{00000000-0005-0000-0000-000037280000}"/>
    <cellStyle name="40% - Accent4 4 5 4 2" xfId="13396" xr:uid="{00000000-0005-0000-0000-000038280000}"/>
    <cellStyle name="40% - Accent4 4 5 5" xfId="13397" xr:uid="{00000000-0005-0000-0000-000039280000}"/>
    <cellStyle name="40% - Accent4 4 5 6" xfId="13390" xr:uid="{00000000-0005-0000-0000-00003A280000}"/>
    <cellStyle name="40% - Accent4 4 6" xfId="2461" xr:uid="{00000000-0005-0000-0000-00003B280000}"/>
    <cellStyle name="40% - Accent4 4 6 2" xfId="13399" xr:uid="{00000000-0005-0000-0000-00003C280000}"/>
    <cellStyle name="40% - Accent4 4 6 2 2" xfId="13400" xr:uid="{00000000-0005-0000-0000-00003D280000}"/>
    <cellStyle name="40% - Accent4 4 6 3" xfId="13401" xr:uid="{00000000-0005-0000-0000-00003E280000}"/>
    <cellStyle name="40% - Accent4 4 6 3 2" xfId="13402" xr:uid="{00000000-0005-0000-0000-00003F280000}"/>
    <cellStyle name="40% - Accent4 4 6 4" xfId="13403" xr:uid="{00000000-0005-0000-0000-000040280000}"/>
    <cellStyle name="40% - Accent4 4 6 4 2" xfId="13404" xr:uid="{00000000-0005-0000-0000-000041280000}"/>
    <cellStyle name="40% - Accent4 4 6 5" xfId="13405" xr:uid="{00000000-0005-0000-0000-000042280000}"/>
    <cellStyle name="40% - Accent4 4 6 6" xfId="13398" xr:uid="{00000000-0005-0000-0000-000043280000}"/>
    <cellStyle name="40% - Accent4 4 7" xfId="2833" xr:uid="{00000000-0005-0000-0000-000044280000}"/>
    <cellStyle name="40% - Accent4 4 7 2" xfId="13407" xr:uid="{00000000-0005-0000-0000-000045280000}"/>
    <cellStyle name="40% - Accent4 4 7 2 2" xfId="13408" xr:uid="{00000000-0005-0000-0000-000046280000}"/>
    <cellStyle name="40% - Accent4 4 7 3" xfId="13409" xr:uid="{00000000-0005-0000-0000-000047280000}"/>
    <cellStyle name="40% - Accent4 4 7 3 2" xfId="13410" xr:uid="{00000000-0005-0000-0000-000048280000}"/>
    <cellStyle name="40% - Accent4 4 7 4" xfId="13411" xr:uid="{00000000-0005-0000-0000-000049280000}"/>
    <cellStyle name="40% - Accent4 4 7 4 2" xfId="13412" xr:uid="{00000000-0005-0000-0000-00004A280000}"/>
    <cellStyle name="40% - Accent4 4 7 5" xfId="13413" xr:uid="{00000000-0005-0000-0000-00004B280000}"/>
    <cellStyle name="40% - Accent4 4 7 6" xfId="13406" xr:uid="{00000000-0005-0000-0000-00004C280000}"/>
    <cellStyle name="40% - Accent4 4 8" xfId="3204" xr:uid="{00000000-0005-0000-0000-00004D280000}"/>
    <cellStyle name="40% - Accent4 4 8 2" xfId="13415" xr:uid="{00000000-0005-0000-0000-00004E280000}"/>
    <cellStyle name="40% - Accent4 4 8 2 2" xfId="13416" xr:uid="{00000000-0005-0000-0000-00004F280000}"/>
    <cellStyle name="40% - Accent4 4 8 3" xfId="13417" xr:uid="{00000000-0005-0000-0000-000050280000}"/>
    <cellStyle name="40% - Accent4 4 8 3 2" xfId="13418" xr:uid="{00000000-0005-0000-0000-000051280000}"/>
    <cellStyle name="40% - Accent4 4 8 4" xfId="13419" xr:uid="{00000000-0005-0000-0000-000052280000}"/>
    <cellStyle name="40% - Accent4 4 8 4 2" xfId="13420" xr:uid="{00000000-0005-0000-0000-000053280000}"/>
    <cellStyle name="40% - Accent4 4 8 5" xfId="13421" xr:uid="{00000000-0005-0000-0000-000054280000}"/>
    <cellStyle name="40% - Accent4 4 8 6" xfId="13414" xr:uid="{00000000-0005-0000-0000-000055280000}"/>
    <cellStyle name="40% - Accent4 4 9" xfId="3591" xr:uid="{00000000-0005-0000-0000-000056280000}"/>
    <cellStyle name="40% - Accent4 4 9 2" xfId="4593" xr:uid="{00000000-0005-0000-0000-000057280000}"/>
    <cellStyle name="40% - Accent4 4 9 2 2" xfId="13424" xr:uid="{00000000-0005-0000-0000-000058280000}"/>
    <cellStyle name="40% - Accent4 4 9 2 3" xfId="13423" xr:uid="{00000000-0005-0000-0000-000059280000}"/>
    <cellStyle name="40% - Accent4 4 9 3" xfId="13425" xr:uid="{00000000-0005-0000-0000-00005A280000}"/>
    <cellStyle name="40% - Accent4 4 9 3 2" xfId="13426" xr:uid="{00000000-0005-0000-0000-00005B280000}"/>
    <cellStyle name="40% - Accent4 4 9 4" xfId="13427" xr:uid="{00000000-0005-0000-0000-00005C280000}"/>
    <cellStyle name="40% - Accent4 4 9 4 2" xfId="13428" xr:uid="{00000000-0005-0000-0000-00005D280000}"/>
    <cellStyle name="40% - Accent4 4 9 5" xfId="13429" xr:uid="{00000000-0005-0000-0000-00005E280000}"/>
    <cellStyle name="40% - Accent4 4 9 5 2" xfId="13430" xr:uid="{00000000-0005-0000-0000-00005F280000}"/>
    <cellStyle name="40% - Accent4 4 9 6" xfId="13431" xr:uid="{00000000-0005-0000-0000-000060280000}"/>
    <cellStyle name="40% - Accent4 4 9 7" xfId="13422" xr:uid="{00000000-0005-0000-0000-000061280000}"/>
    <cellStyle name="40% - Accent4 5" xfId="395" xr:uid="{00000000-0005-0000-0000-000062280000}"/>
    <cellStyle name="40% - Accent4 5 10" xfId="13433" xr:uid="{00000000-0005-0000-0000-000063280000}"/>
    <cellStyle name="40% - Accent4 5 10 2" xfId="13434" xr:uid="{00000000-0005-0000-0000-000064280000}"/>
    <cellStyle name="40% - Accent4 5 10 2 2" xfId="13435" xr:uid="{00000000-0005-0000-0000-000065280000}"/>
    <cellStyle name="40% - Accent4 5 10 3" xfId="13436" xr:uid="{00000000-0005-0000-0000-000066280000}"/>
    <cellStyle name="40% - Accent4 5 10 3 2" xfId="13437" xr:uid="{00000000-0005-0000-0000-000067280000}"/>
    <cellStyle name="40% - Accent4 5 10 4" xfId="13438" xr:uid="{00000000-0005-0000-0000-000068280000}"/>
    <cellStyle name="40% - Accent4 5 11" xfId="13439" xr:uid="{00000000-0005-0000-0000-000069280000}"/>
    <cellStyle name="40% - Accent4 5 11 2" xfId="13440" xr:uid="{00000000-0005-0000-0000-00006A280000}"/>
    <cellStyle name="40% - Accent4 5 11 2 2" xfId="13441" xr:uid="{00000000-0005-0000-0000-00006B280000}"/>
    <cellStyle name="40% - Accent4 5 11 3" xfId="13442" xr:uid="{00000000-0005-0000-0000-00006C280000}"/>
    <cellStyle name="40% - Accent4 5 11 3 2" xfId="13443" xr:uid="{00000000-0005-0000-0000-00006D280000}"/>
    <cellStyle name="40% - Accent4 5 11 4" xfId="13444" xr:uid="{00000000-0005-0000-0000-00006E280000}"/>
    <cellStyle name="40% - Accent4 5 12" xfId="13445" xr:uid="{00000000-0005-0000-0000-00006F280000}"/>
    <cellStyle name="40% - Accent4 5 12 2" xfId="13446" xr:uid="{00000000-0005-0000-0000-000070280000}"/>
    <cellStyle name="40% - Accent4 5 12 2 2" xfId="13447" xr:uid="{00000000-0005-0000-0000-000071280000}"/>
    <cellStyle name="40% - Accent4 5 12 3" xfId="13448" xr:uid="{00000000-0005-0000-0000-000072280000}"/>
    <cellStyle name="40% - Accent4 5 12 3 2" xfId="13449" xr:uid="{00000000-0005-0000-0000-000073280000}"/>
    <cellStyle name="40% - Accent4 5 12 4" xfId="13450" xr:uid="{00000000-0005-0000-0000-000074280000}"/>
    <cellStyle name="40% - Accent4 5 13" xfId="13451" xr:uid="{00000000-0005-0000-0000-000075280000}"/>
    <cellStyle name="40% - Accent4 5 13 2" xfId="13452" xr:uid="{00000000-0005-0000-0000-000076280000}"/>
    <cellStyle name="40% - Accent4 5 13 2 2" xfId="13453" xr:uid="{00000000-0005-0000-0000-000077280000}"/>
    <cellStyle name="40% - Accent4 5 13 3" xfId="13454" xr:uid="{00000000-0005-0000-0000-000078280000}"/>
    <cellStyle name="40% - Accent4 5 13 3 2" xfId="13455" xr:uid="{00000000-0005-0000-0000-000079280000}"/>
    <cellStyle name="40% - Accent4 5 13 4" xfId="13456" xr:uid="{00000000-0005-0000-0000-00007A280000}"/>
    <cellStyle name="40% - Accent4 5 14" xfId="13457" xr:uid="{00000000-0005-0000-0000-00007B280000}"/>
    <cellStyle name="40% - Accent4 5 14 2" xfId="13458" xr:uid="{00000000-0005-0000-0000-00007C280000}"/>
    <cellStyle name="40% - Accent4 5 15" xfId="13459" xr:uid="{00000000-0005-0000-0000-00007D280000}"/>
    <cellStyle name="40% - Accent4 5 15 2" xfId="13460" xr:uid="{00000000-0005-0000-0000-00007E280000}"/>
    <cellStyle name="40% - Accent4 5 16" xfId="13461" xr:uid="{00000000-0005-0000-0000-00007F280000}"/>
    <cellStyle name="40% - Accent4 5 16 2" xfId="13462" xr:uid="{00000000-0005-0000-0000-000080280000}"/>
    <cellStyle name="40% - Accent4 5 17" xfId="13463" xr:uid="{00000000-0005-0000-0000-000081280000}"/>
    <cellStyle name="40% - Accent4 5 17 2" xfId="13464" xr:uid="{00000000-0005-0000-0000-000082280000}"/>
    <cellStyle name="40% - Accent4 5 18" xfId="13465" xr:uid="{00000000-0005-0000-0000-000083280000}"/>
    <cellStyle name="40% - Accent4 5 19" xfId="13432" xr:uid="{00000000-0005-0000-0000-000084280000}"/>
    <cellStyle name="40% - Accent4 5 2" xfId="1766" xr:uid="{00000000-0005-0000-0000-000085280000}"/>
    <cellStyle name="40% - Accent4 5 2 10" xfId="13467" xr:uid="{00000000-0005-0000-0000-000086280000}"/>
    <cellStyle name="40% - Accent4 5 2 10 2" xfId="13468" xr:uid="{00000000-0005-0000-0000-000087280000}"/>
    <cellStyle name="40% - Accent4 5 2 10 2 2" xfId="13469" xr:uid="{00000000-0005-0000-0000-000088280000}"/>
    <cellStyle name="40% - Accent4 5 2 10 3" xfId="13470" xr:uid="{00000000-0005-0000-0000-000089280000}"/>
    <cellStyle name="40% - Accent4 5 2 10 3 2" xfId="13471" xr:uid="{00000000-0005-0000-0000-00008A280000}"/>
    <cellStyle name="40% - Accent4 5 2 10 4" xfId="13472" xr:uid="{00000000-0005-0000-0000-00008B280000}"/>
    <cellStyle name="40% - Accent4 5 2 11" xfId="13473" xr:uid="{00000000-0005-0000-0000-00008C280000}"/>
    <cellStyle name="40% - Accent4 5 2 11 2" xfId="13474" xr:uid="{00000000-0005-0000-0000-00008D280000}"/>
    <cellStyle name="40% - Accent4 5 2 11 2 2" xfId="13475" xr:uid="{00000000-0005-0000-0000-00008E280000}"/>
    <cellStyle name="40% - Accent4 5 2 11 3" xfId="13476" xr:uid="{00000000-0005-0000-0000-00008F280000}"/>
    <cellStyle name="40% - Accent4 5 2 11 3 2" xfId="13477" xr:uid="{00000000-0005-0000-0000-000090280000}"/>
    <cellStyle name="40% - Accent4 5 2 11 4" xfId="13478" xr:uid="{00000000-0005-0000-0000-000091280000}"/>
    <cellStyle name="40% - Accent4 5 2 12" xfId="13479" xr:uid="{00000000-0005-0000-0000-000092280000}"/>
    <cellStyle name="40% - Accent4 5 2 12 2" xfId="13480" xr:uid="{00000000-0005-0000-0000-000093280000}"/>
    <cellStyle name="40% - Accent4 5 2 12 2 2" xfId="13481" xr:uid="{00000000-0005-0000-0000-000094280000}"/>
    <cellStyle name="40% - Accent4 5 2 12 3" xfId="13482" xr:uid="{00000000-0005-0000-0000-000095280000}"/>
    <cellStyle name="40% - Accent4 5 2 12 3 2" xfId="13483" xr:uid="{00000000-0005-0000-0000-000096280000}"/>
    <cellStyle name="40% - Accent4 5 2 12 4" xfId="13484" xr:uid="{00000000-0005-0000-0000-000097280000}"/>
    <cellStyle name="40% - Accent4 5 2 13" xfId="13485" xr:uid="{00000000-0005-0000-0000-000098280000}"/>
    <cellStyle name="40% - Accent4 5 2 13 2" xfId="13486" xr:uid="{00000000-0005-0000-0000-000099280000}"/>
    <cellStyle name="40% - Accent4 5 2 14" xfId="13487" xr:uid="{00000000-0005-0000-0000-00009A280000}"/>
    <cellStyle name="40% - Accent4 5 2 14 2" xfId="13488" xr:uid="{00000000-0005-0000-0000-00009B280000}"/>
    <cellStyle name="40% - Accent4 5 2 15" xfId="13489" xr:uid="{00000000-0005-0000-0000-00009C280000}"/>
    <cellStyle name="40% - Accent4 5 2 15 2" xfId="13490" xr:uid="{00000000-0005-0000-0000-00009D280000}"/>
    <cellStyle name="40% - Accent4 5 2 16" xfId="13491" xr:uid="{00000000-0005-0000-0000-00009E280000}"/>
    <cellStyle name="40% - Accent4 5 2 17" xfId="13466" xr:uid="{00000000-0005-0000-0000-00009F280000}"/>
    <cellStyle name="40% - Accent4 5 2 2" xfId="13492" xr:uid="{00000000-0005-0000-0000-0000A0280000}"/>
    <cellStyle name="40% - Accent4 5 2 2 2" xfId="13493" xr:uid="{00000000-0005-0000-0000-0000A1280000}"/>
    <cellStyle name="40% - Accent4 5 2 2 2 2" xfId="13494" xr:uid="{00000000-0005-0000-0000-0000A2280000}"/>
    <cellStyle name="40% - Accent4 5 2 2 3" xfId="13495" xr:uid="{00000000-0005-0000-0000-0000A3280000}"/>
    <cellStyle name="40% - Accent4 5 2 2 3 2" xfId="13496" xr:uid="{00000000-0005-0000-0000-0000A4280000}"/>
    <cellStyle name="40% - Accent4 5 2 2 4" xfId="13497" xr:uid="{00000000-0005-0000-0000-0000A5280000}"/>
    <cellStyle name="40% - Accent4 5 2 3" xfId="13498" xr:uid="{00000000-0005-0000-0000-0000A6280000}"/>
    <cellStyle name="40% - Accent4 5 2 3 2" xfId="13499" xr:uid="{00000000-0005-0000-0000-0000A7280000}"/>
    <cellStyle name="40% - Accent4 5 2 3 2 2" xfId="13500" xr:uid="{00000000-0005-0000-0000-0000A8280000}"/>
    <cellStyle name="40% - Accent4 5 2 3 3" xfId="13501" xr:uid="{00000000-0005-0000-0000-0000A9280000}"/>
    <cellStyle name="40% - Accent4 5 2 3 3 2" xfId="13502" xr:uid="{00000000-0005-0000-0000-0000AA280000}"/>
    <cellStyle name="40% - Accent4 5 2 3 4" xfId="13503" xr:uid="{00000000-0005-0000-0000-0000AB280000}"/>
    <cellStyle name="40% - Accent4 5 2 4" xfId="13504" xr:uid="{00000000-0005-0000-0000-0000AC280000}"/>
    <cellStyle name="40% - Accent4 5 2 4 2" xfId="13505" xr:uid="{00000000-0005-0000-0000-0000AD280000}"/>
    <cellStyle name="40% - Accent4 5 2 4 2 2" xfId="13506" xr:uid="{00000000-0005-0000-0000-0000AE280000}"/>
    <cellStyle name="40% - Accent4 5 2 4 3" xfId="13507" xr:uid="{00000000-0005-0000-0000-0000AF280000}"/>
    <cellStyle name="40% - Accent4 5 2 4 3 2" xfId="13508" xr:uid="{00000000-0005-0000-0000-0000B0280000}"/>
    <cellStyle name="40% - Accent4 5 2 4 4" xfId="13509" xr:uid="{00000000-0005-0000-0000-0000B1280000}"/>
    <cellStyle name="40% - Accent4 5 2 5" xfId="13510" xr:uid="{00000000-0005-0000-0000-0000B2280000}"/>
    <cellStyle name="40% - Accent4 5 2 5 2" xfId="13511" xr:uid="{00000000-0005-0000-0000-0000B3280000}"/>
    <cellStyle name="40% - Accent4 5 2 5 2 2" xfId="13512" xr:uid="{00000000-0005-0000-0000-0000B4280000}"/>
    <cellStyle name="40% - Accent4 5 2 5 3" xfId="13513" xr:uid="{00000000-0005-0000-0000-0000B5280000}"/>
    <cellStyle name="40% - Accent4 5 2 5 3 2" xfId="13514" xr:uid="{00000000-0005-0000-0000-0000B6280000}"/>
    <cellStyle name="40% - Accent4 5 2 5 4" xfId="13515" xr:uid="{00000000-0005-0000-0000-0000B7280000}"/>
    <cellStyle name="40% - Accent4 5 2 6" xfId="13516" xr:uid="{00000000-0005-0000-0000-0000B8280000}"/>
    <cellStyle name="40% - Accent4 5 2 6 2" xfId="13517" xr:uid="{00000000-0005-0000-0000-0000B9280000}"/>
    <cellStyle name="40% - Accent4 5 2 6 2 2" xfId="13518" xr:uid="{00000000-0005-0000-0000-0000BA280000}"/>
    <cellStyle name="40% - Accent4 5 2 6 3" xfId="13519" xr:uid="{00000000-0005-0000-0000-0000BB280000}"/>
    <cellStyle name="40% - Accent4 5 2 6 3 2" xfId="13520" xr:uid="{00000000-0005-0000-0000-0000BC280000}"/>
    <cellStyle name="40% - Accent4 5 2 6 4" xfId="13521" xr:uid="{00000000-0005-0000-0000-0000BD280000}"/>
    <cellStyle name="40% - Accent4 5 2 7" xfId="13522" xr:uid="{00000000-0005-0000-0000-0000BE280000}"/>
    <cellStyle name="40% - Accent4 5 2 7 2" xfId="13523" xr:uid="{00000000-0005-0000-0000-0000BF280000}"/>
    <cellStyle name="40% - Accent4 5 2 7 2 2" xfId="13524" xr:uid="{00000000-0005-0000-0000-0000C0280000}"/>
    <cellStyle name="40% - Accent4 5 2 7 3" xfId="13525" xr:uid="{00000000-0005-0000-0000-0000C1280000}"/>
    <cellStyle name="40% - Accent4 5 2 7 3 2" xfId="13526" xr:uid="{00000000-0005-0000-0000-0000C2280000}"/>
    <cellStyle name="40% - Accent4 5 2 7 4" xfId="13527" xr:uid="{00000000-0005-0000-0000-0000C3280000}"/>
    <cellStyle name="40% - Accent4 5 2 8" xfId="13528" xr:uid="{00000000-0005-0000-0000-0000C4280000}"/>
    <cellStyle name="40% - Accent4 5 2 8 2" xfId="13529" xr:uid="{00000000-0005-0000-0000-0000C5280000}"/>
    <cellStyle name="40% - Accent4 5 2 8 2 2" xfId="13530" xr:uid="{00000000-0005-0000-0000-0000C6280000}"/>
    <cellStyle name="40% - Accent4 5 2 8 3" xfId="13531" xr:uid="{00000000-0005-0000-0000-0000C7280000}"/>
    <cellStyle name="40% - Accent4 5 2 8 3 2" xfId="13532" xr:uid="{00000000-0005-0000-0000-0000C8280000}"/>
    <cellStyle name="40% - Accent4 5 2 8 4" xfId="13533" xr:uid="{00000000-0005-0000-0000-0000C9280000}"/>
    <cellStyle name="40% - Accent4 5 2 9" xfId="13534" xr:uid="{00000000-0005-0000-0000-0000CA280000}"/>
    <cellStyle name="40% - Accent4 5 2 9 2" xfId="13535" xr:uid="{00000000-0005-0000-0000-0000CB280000}"/>
    <cellStyle name="40% - Accent4 5 2 9 2 2" xfId="13536" xr:uid="{00000000-0005-0000-0000-0000CC280000}"/>
    <cellStyle name="40% - Accent4 5 2 9 3" xfId="13537" xr:uid="{00000000-0005-0000-0000-0000CD280000}"/>
    <cellStyle name="40% - Accent4 5 2 9 3 2" xfId="13538" xr:uid="{00000000-0005-0000-0000-0000CE280000}"/>
    <cellStyle name="40% - Accent4 5 2 9 4" xfId="13539" xr:uid="{00000000-0005-0000-0000-0000CF280000}"/>
    <cellStyle name="40% - Accent4 5 3" xfId="2101" xr:uid="{00000000-0005-0000-0000-0000D0280000}"/>
    <cellStyle name="40% - Accent4 5 3 2" xfId="13541" xr:uid="{00000000-0005-0000-0000-0000D1280000}"/>
    <cellStyle name="40% - Accent4 5 3 2 2" xfId="13542" xr:uid="{00000000-0005-0000-0000-0000D2280000}"/>
    <cellStyle name="40% - Accent4 5 3 3" xfId="13543" xr:uid="{00000000-0005-0000-0000-0000D3280000}"/>
    <cellStyle name="40% - Accent4 5 3 3 2" xfId="13544" xr:uid="{00000000-0005-0000-0000-0000D4280000}"/>
    <cellStyle name="40% - Accent4 5 3 4" xfId="13545" xr:uid="{00000000-0005-0000-0000-0000D5280000}"/>
    <cellStyle name="40% - Accent4 5 3 4 2" xfId="13546" xr:uid="{00000000-0005-0000-0000-0000D6280000}"/>
    <cellStyle name="40% - Accent4 5 3 5" xfId="13547" xr:uid="{00000000-0005-0000-0000-0000D7280000}"/>
    <cellStyle name="40% - Accent4 5 3 6" xfId="13540" xr:uid="{00000000-0005-0000-0000-0000D8280000}"/>
    <cellStyle name="40% - Accent4 5 4" xfId="2475" xr:uid="{00000000-0005-0000-0000-0000D9280000}"/>
    <cellStyle name="40% - Accent4 5 4 2" xfId="13549" xr:uid="{00000000-0005-0000-0000-0000DA280000}"/>
    <cellStyle name="40% - Accent4 5 4 2 2" xfId="13550" xr:uid="{00000000-0005-0000-0000-0000DB280000}"/>
    <cellStyle name="40% - Accent4 5 4 3" xfId="13551" xr:uid="{00000000-0005-0000-0000-0000DC280000}"/>
    <cellStyle name="40% - Accent4 5 4 3 2" xfId="13552" xr:uid="{00000000-0005-0000-0000-0000DD280000}"/>
    <cellStyle name="40% - Accent4 5 4 4" xfId="13553" xr:uid="{00000000-0005-0000-0000-0000DE280000}"/>
    <cellStyle name="40% - Accent4 5 4 4 2" xfId="13554" xr:uid="{00000000-0005-0000-0000-0000DF280000}"/>
    <cellStyle name="40% - Accent4 5 4 5" xfId="13555" xr:uid="{00000000-0005-0000-0000-0000E0280000}"/>
    <cellStyle name="40% - Accent4 5 4 6" xfId="13548" xr:uid="{00000000-0005-0000-0000-0000E1280000}"/>
    <cellStyle name="40% - Accent4 5 5" xfId="2847" xr:uid="{00000000-0005-0000-0000-0000E2280000}"/>
    <cellStyle name="40% - Accent4 5 5 2" xfId="13557" xr:uid="{00000000-0005-0000-0000-0000E3280000}"/>
    <cellStyle name="40% - Accent4 5 5 2 2" xfId="13558" xr:uid="{00000000-0005-0000-0000-0000E4280000}"/>
    <cellStyle name="40% - Accent4 5 5 3" xfId="13559" xr:uid="{00000000-0005-0000-0000-0000E5280000}"/>
    <cellStyle name="40% - Accent4 5 5 3 2" xfId="13560" xr:uid="{00000000-0005-0000-0000-0000E6280000}"/>
    <cellStyle name="40% - Accent4 5 5 4" xfId="13561" xr:uid="{00000000-0005-0000-0000-0000E7280000}"/>
    <cellStyle name="40% - Accent4 5 5 4 2" xfId="13562" xr:uid="{00000000-0005-0000-0000-0000E8280000}"/>
    <cellStyle name="40% - Accent4 5 5 5" xfId="13563" xr:uid="{00000000-0005-0000-0000-0000E9280000}"/>
    <cellStyle name="40% - Accent4 5 5 6" xfId="13556" xr:uid="{00000000-0005-0000-0000-0000EA280000}"/>
    <cellStyle name="40% - Accent4 5 6" xfId="3218" xr:uid="{00000000-0005-0000-0000-0000EB280000}"/>
    <cellStyle name="40% - Accent4 5 6 2" xfId="13565" xr:uid="{00000000-0005-0000-0000-0000EC280000}"/>
    <cellStyle name="40% - Accent4 5 6 2 2" xfId="13566" xr:uid="{00000000-0005-0000-0000-0000ED280000}"/>
    <cellStyle name="40% - Accent4 5 6 3" xfId="13567" xr:uid="{00000000-0005-0000-0000-0000EE280000}"/>
    <cellStyle name="40% - Accent4 5 6 3 2" xfId="13568" xr:uid="{00000000-0005-0000-0000-0000EF280000}"/>
    <cellStyle name="40% - Accent4 5 6 4" xfId="13569" xr:uid="{00000000-0005-0000-0000-0000F0280000}"/>
    <cellStyle name="40% - Accent4 5 6 4 2" xfId="13570" xr:uid="{00000000-0005-0000-0000-0000F1280000}"/>
    <cellStyle name="40% - Accent4 5 6 5" xfId="13571" xr:uid="{00000000-0005-0000-0000-0000F2280000}"/>
    <cellStyle name="40% - Accent4 5 6 6" xfId="13564" xr:uid="{00000000-0005-0000-0000-0000F3280000}"/>
    <cellStyle name="40% - Accent4 5 7" xfId="4594" xr:uid="{00000000-0005-0000-0000-0000F4280000}"/>
    <cellStyle name="40% - Accent4 5 7 2" xfId="13573" xr:uid="{00000000-0005-0000-0000-0000F5280000}"/>
    <cellStyle name="40% - Accent4 5 7 2 2" xfId="13574" xr:uid="{00000000-0005-0000-0000-0000F6280000}"/>
    <cellStyle name="40% - Accent4 5 7 3" xfId="13575" xr:uid="{00000000-0005-0000-0000-0000F7280000}"/>
    <cellStyle name="40% - Accent4 5 7 3 2" xfId="13576" xr:uid="{00000000-0005-0000-0000-0000F8280000}"/>
    <cellStyle name="40% - Accent4 5 7 4" xfId="13577" xr:uid="{00000000-0005-0000-0000-0000F9280000}"/>
    <cellStyle name="40% - Accent4 5 7 5" xfId="13572" xr:uid="{00000000-0005-0000-0000-0000FA280000}"/>
    <cellStyle name="40% - Accent4 5 8" xfId="13578" xr:uid="{00000000-0005-0000-0000-0000FB280000}"/>
    <cellStyle name="40% - Accent4 5 8 2" xfId="13579" xr:uid="{00000000-0005-0000-0000-0000FC280000}"/>
    <cellStyle name="40% - Accent4 5 8 2 2" xfId="13580" xr:uid="{00000000-0005-0000-0000-0000FD280000}"/>
    <cellStyle name="40% - Accent4 5 8 3" xfId="13581" xr:uid="{00000000-0005-0000-0000-0000FE280000}"/>
    <cellStyle name="40% - Accent4 5 8 3 2" xfId="13582" xr:uid="{00000000-0005-0000-0000-0000FF280000}"/>
    <cellStyle name="40% - Accent4 5 8 4" xfId="13583" xr:uid="{00000000-0005-0000-0000-000000290000}"/>
    <cellStyle name="40% - Accent4 5 9" xfId="13584" xr:uid="{00000000-0005-0000-0000-000001290000}"/>
    <cellStyle name="40% - Accent4 5 9 2" xfId="13585" xr:uid="{00000000-0005-0000-0000-000002290000}"/>
    <cellStyle name="40% - Accent4 5 9 2 2" xfId="13586" xr:uid="{00000000-0005-0000-0000-000003290000}"/>
    <cellStyle name="40% - Accent4 5 9 3" xfId="13587" xr:uid="{00000000-0005-0000-0000-000004290000}"/>
    <cellStyle name="40% - Accent4 5 9 3 2" xfId="13588" xr:uid="{00000000-0005-0000-0000-000005290000}"/>
    <cellStyle name="40% - Accent4 5 9 4" xfId="13589" xr:uid="{00000000-0005-0000-0000-000006290000}"/>
    <cellStyle name="40% - Accent4 6" xfId="396" xr:uid="{00000000-0005-0000-0000-000007290000}"/>
    <cellStyle name="40% - Accent4 6 10" xfId="5416" xr:uid="{00000000-0005-0000-0000-000008290000}"/>
    <cellStyle name="40% - Accent4 6 10 2" xfId="6373" xr:uid="{00000000-0005-0000-0000-000009290000}"/>
    <cellStyle name="40% - Accent4 6 10 2 2" xfId="13593" xr:uid="{00000000-0005-0000-0000-00000A290000}"/>
    <cellStyle name="40% - Accent4 6 10 2 3" xfId="13592" xr:uid="{00000000-0005-0000-0000-00000B290000}"/>
    <cellStyle name="40% - Accent4 6 10 2 4" xfId="26503" xr:uid="{00000000-0005-0000-0000-00000C290000}"/>
    <cellStyle name="40% - Accent4 6 10 3" xfId="13594" xr:uid="{00000000-0005-0000-0000-00000D290000}"/>
    <cellStyle name="40% - Accent4 6 10 3 2" xfId="13595" xr:uid="{00000000-0005-0000-0000-00000E290000}"/>
    <cellStyle name="40% - Accent4 6 10 4" xfId="13596" xr:uid="{00000000-0005-0000-0000-00000F290000}"/>
    <cellStyle name="40% - Accent4 6 10 5" xfId="13591" xr:uid="{00000000-0005-0000-0000-000010290000}"/>
    <cellStyle name="40% - Accent4 6 10 6" xfId="26502" xr:uid="{00000000-0005-0000-0000-000011290000}"/>
    <cellStyle name="40% - Accent4 6 11" xfId="5726" xr:uid="{00000000-0005-0000-0000-000012290000}"/>
    <cellStyle name="40% - Accent4 6 11 2" xfId="6374" xr:uid="{00000000-0005-0000-0000-000013290000}"/>
    <cellStyle name="40% - Accent4 6 11 2 2" xfId="13599" xr:uid="{00000000-0005-0000-0000-000014290000}"/>
    <cellStyle name="40% - Accent4 6 11 2 3" xfId="13598" xr:uid="{00000000-0005-0000-0000-000015290000}"/>
    <cellStyle name="40% - Accent4 6 11 2 4" xfId="26505" xr:uid="{00000000-0005-0000-0000-000016290000}"/>
    <cellStyle name="40% - Accent4 6 11 3" xfId="13600" xr:uid="{00000000-0005-0000-0000-000017290000}"/>
    <cellStyle name="40% - Accent4 6 11 3 2" xfId="13601" xr:uid="{00000000-0005-0000-0000-000018290000}"/>
    <cellStyle name="40% - Accent4 6 11 4" xfId="13602" xr:uid="{00000000-0005-0000-0000-000019290000}"/>
    <cellStyle name="40% - Accent4 6 11 5" xfId="13597" xr:uid="{00000000-0005-0000-0000-00001A290000}"/>
    <cellStyle name="40% - Accent4 6 11 6" xfId="26504" xr:uid="{00000000-0005-0000-0000-00001B290000}"/>
    <cellStyle name="40% - Accent4 6 12" xfId="4595" xr:uid="{00000000-0005-0000-0000-00001C290000}"/>
    <cellStyle name="40% - Accent4 6 12 2" xfId="6375" xr:uid="{00000000-0005-0000-0000-00001D290000}"/>
    <cellStyle name="40% - Accent4 6 12 2 2" xfId="13605" xr:uid="{00000000-0005-0000-0000-00001E290000}"/>
    <cellStyle name="40% - Accent4 6 12 2 3" xfId="13604" xr:uid="{00000000-0005-0000-0000-00001F290000}"/>
    <cellStyle name="40% - Accent4 6 12 2 4" xfId="26507" xr:uid="{00000000-0005-0000-0000-000020290000}"/>
    <cellStyle name="40% - Accent4 6 12 3" xfId="13606" xr:uid="{00000000-0005-0000-0000-000021290000}"/>
    <cellStyle name="40% - Accent4 6 12 3 2" xfId="13607" xr:uid="{00000000-0005-0000-0000-000022290000}"/>
    <cellStyle name="40% - Accent4 6 12 4" xfId="13608" xr:uid="{00000000-0005-0000-0000-000023290000}"/>
    <cellStyle name="40% - Accent4 6 12 5" xfId="13603" xr:uid="{00000000-0005-0000-0000-000024290000}"/>
    <cellStyle name="40% - Accent4 6 12 6" xfId="26506" xr:uid="{00000000-0005-0000-0000-000025290000}"/>
    <cellStyle name="40% - Accent4 6 13" xfId="6372" xr:uid="{00000000-0005-0000-0000-000026290000}"/>
    <cellStyle name="40% - Accent4 6 13 2" xfId="13610" xr:uid="{00000000-0005-0000-0000-000027290000}"/>
    <cellStyle name="40% - Accent4 6 13 3" xfId="13609" xr:uid="{00000000-0005-0000-0000-000028290000}"/>
    <cellStyle name="40% - Accent4 6 13 4" xfId="26508" xr:uid="{00000000-0005-0000-0000-000029290000}"/>
    <cellStyle name="40% - Accent4 6 14" xfId="13611" xr:uid="{00000000-0005-0000-0000-00002A290000}"/>
    <cellStyle name="40% - Accent4 6 14 2" xfId="13612" xr:uid="{00000000-0005-0000-0000-00002B290000}"/>
    <cellStyle name="40% - Accent4 6 15" xfId="13613" xr:uid="{00000000-0005-0000-0000-00002C290000}"/>
    <cellStyle name="40% - Accent4 6 15 2" xfId="13614" xr:uid="{00000000-0005-0000-0000-00002D290000}"/>
    <cellStyle name="40% - Accent4 6 16" xfId="13615" xr:uid="{00000000-0005-0000-0000-00002E290000}"/>
    <cellStyle name="40% - Accent4 6 16 2" xfId="13616" xr:uid="{00000000-0005-0000-0000-00002F290000}"/>
    <cellStyle name="40% - Accent4 6 16 2 2" xfId="13617" xr:uid="{00000000-0005-0000-0000-000030290000}"/>
    <cellStyle name="40% - Accent4 6 16 3" xfId="13618" xr:uid="{00000000-0005-0000-0000-000031290000}"/>
    <cellStyle name="40% - Accent4 6 16 3 2" xfId="13619" xr:uid="{00000000-0005-0000-0000-000032290000}"/>
    <cellStyle name="40% - Accent4 6 16 4" xfId="13620" xr:uid="{00000000-0005-0000-0000-000033290000}"/>
    <cellStyle name="40% - Accent4 6 17" xfId="13621" xr:uid="{00000000-0005-0000-0000-000034290000}"/>
    <cellStyle name="40% - Accent4 6 17 2" xfId="13622" xr:uid="{00000000-0005-0000-0000-000035290000}"/>
    <cellStyle name="40% - Accent4 6 18" xfId="13623" xr:uid="{00000000-0005-0000-0000-000036290000}"/>
    <cellStyle name="40% - Accent4 6 18 2" xfId="13624" xr:uid="{00000000-0005-0000-0000-000037290000}"/>
    <cellStyle name="40% - Accent4 6 19" xfId="13625" xr:uid="{00000000-0005-0000-0000-000038290000}"/>
    <cellStyle name="40% - Accent4 6 2" xfId="1978" xr:uid="{00000000-0005-0000-0000-000039290000}"/>
    <cellStyle name="40% - Accent4 6 2 2" xfId="4596" xr:uid="{00000000-0005-0000-0000-00003A290000}"/>
    <cellStyle name="40% - Accent4 6 2 2 2" xfId="13628" xr:uid="{00000000-0005-0000-0000-00003B290000}"/>
    <cellStyle name="40% - Accent4 6 2 2 3" xfId="13627" xr:uid="{00000000-0005-0000-0000-00003C290000}"/>
    <cellStyle name="40% - Accent4 6 2 3" xfId="13629" xr:uid="{00000000-0005-0000-0000-00003D290000}"/>
    <cellStyle name="40% - Accent4 6 2 3 2" xfId="13630" xr:uid="{00000000-0005-0000-0000-00003E290000}"/>
    <cellStyle name="40% - Accent4 6 2 4" xfId="13631" xr:uid="{00000000-0005-0000-0000-00003F290000}"/>
    <cellStyle name="40% - Accent4 6 2 4 2" xfId="13632" xr:uid="{00000000-0005-0000-0000-000040290000}"/>
    <cellStyle name="40% - Accent4 6 2 5" xfId="13633" xr:uid="{00000000-0005-0000-0000-000041290000}"/>
    <cellStyle name="40% - Accent4 6 2 5 2" xfId="13634" xr:uid="{00000000-0005-0000-0000-000042290000}"/>
    <cellStyle name="40% - Accent4 6 2 6" xfId="13635" xr:uid="{00000000-0005-0000-0000-000043290000}"/>
    <cellStyle name="40% - Accent4 6 2 7" xfId="13626" xr:uid="{00000000-0005-0000-0000-000044290000}"/>
    <cellStyle name="40% - Accent4 6 20" xfId="13590" xr:uid="{00000000-0005-0000-0000-000045290000}"/>
    <cellStyle name="40% - Accent4 6 21" xfId="24840" xr:uid="{00000000-0005-0000-0000-000046290000}"/>
    <cellStyle name="40% - Accent4 6 22" xfId="26501" xr:uid="{00000000-0005-0000-0000-000047290000}"/>
    <cellStyle name="40% - Accent4 6 3" xfId="2353" xr:uid="{00000000-0005-0000-0000-000048290000}"/>
    <cellStyle name="40% - Accent4 6 3 2" xfId="4597" xr:uid="{00000000-0005-0000-0000-000049290000}"/>
    <cellStyle name="40% - Accent4 6 3 2 2" xfId="13638" xr:uid="{00000000-0005-0000-0000-00004A290000}"/>
    <cellStyle name="40% - Accent4 6 3 2 3" xfId="13637" xr:uid="{00000000-0005-0000-0000-00004B290000}"/>
    <cellStyle name="40% - Accent4 6 3 3" xfId="13639" xr:uid="{00000000-0005-0000-0000-00004C290000}"/>
    <cellStyle name="40% - Accent4 6 3 3 2" xfId="13640" xr:uid="{00000000-0005-0000-0000-00004D290000}"/>
    <cellStyle name="40% - Accent4 6 3 4" xfId="13641" xr:uid="{00000000-0005-0000-0000-00004E290000}"/>
    <cellStyle name="40% - Accent4 6 3 4 2" xfId="13642" xr:uid="{00000000-0005-0000-0000-00004F290000}"/>
    <cellStyle name="40% - Accent4 6 3 5" xfId="13643" xr:uid="{00000000-0005-0000-0000-000050290000}"/>
    <cellStyle name="40% - Accent4 6 3 5 2" xfId="13644" xr:uid="{00000000-0005-0000-0000-000051290000}"/>
    <cellStyle name="40% - Accent4 6 3 6" xfId="13645" xr:uid="{00000000-0005-0000-0000-000052290000}"/>
    <cellStyle name="40% - Accent4 6 3 7" xfId="13636" xr:uid="{00000000-0005-0000-0000-000053290000}"/>
    <cellStyle name="40% - Accent4 6 4" xfId="2726" xr:uid="{00000000-0005-0000-0000-000054290000}"/>
    <cellStyle name="40% - Accent4 6 4 2" xfId="4598" xr:uid="{00000000-0005-0000-0000-000055290000}"/>
    <cellStyle name="40% - Accent4 6 4 2 2" xfId="13648" xr:uid="{00000000-0005-0000-0000-000056290000}"/>
    <cellStyle name="40% - Accent4 6 4 2 3" xfId="13647" xr:uid="{00000000-0005-0000-0000-000057290000}"/>
    <cellStyle name="40% - Accent4 6 4 3" xfId="13649" xr:uid="{00000000-0005-0000-0000-000058290000}"/>
    <cellStyle name="40% - Accent4 6 4 3 2" xfId="13650" xr:uid="{00000000-0005-0000-0000-000059290000}"/>
    <cellStyle name="40% - Accent4 6 4 4" xfId="13651" xr:uid="{00000000-0005-0000-0000-00005A290000}"/>
    <cellStyle name="40% - Accent4 6 4 4 2" xfId="13652" xr:uid="{00000000-0005-0000-0000-00005B290000}"/>
    <cellStyle name="40% - Accent4 6 4 5" xfId="13653" xr:uid="{00000000-0005-0000-0000-00005C290000}"/>
    <cellStyle name="40% - Accent4 6 4 5 2" xfId="13654" xr:uid="{00000000-0005-0000-0000-00005D290000}"/>
    <cellStyle name="40% - Accent4 6 4 6" xfId="13655" xr:uid="{00000000-0005-0000-0000-00005E290000}"/>
    <cellStyle name="40% - Accent4 6 4 7" xfId="13646" xr:uid="{00000000-0005-0000-0000-00005F290000}"/>
    <cellStyle name="40% - Accent4 6 5" xfId="3099" xr:uid="{00000000-0005-0000-0000-000060290000}"/>
    <cellStyle name="40% - Accent4 6 5 2" xfId="4599" xr:uid="{00000000-0005-0000-0000-000061290000}"/>
    <cellStyle name="40% - Accent4 6 5 2 2" xfId="13658" xr:uid="{00000000-0005-0000-0000-000062290000}"/>
    <cellStyle name="40% - Accent4 6 5 2 3" xfId="13657" xr:uid="{00000000-0005-0000-0000-000063290000}"/>
    <cellStyle name="40% - Accent4 6 5 3" xfId="13659" xr:uid="{00000000-0005-0000-0000-000064290000}"/>
    <cellStyle name="40% - Accent4 6 5 3 2" xfId="13660" xr:uid="{00000000-0005-0000-0000-000065290000}"/>
    <cellStyle name="40% - Accent4 6 5 4" xfId="13661" xr:uid="{00000000-0005-0000-0000-000066290000}"/>
    <cellStyle name="40% - Accent4 6 5 4 2" xfId="13662" xr:uid="{00000000-0005-0000-0000-000067290000}"/>
    <cellStyle name="40% - Accent4 6 5 5" xfId="13663" xr:uid="{00000000-0005-0000-0000-000068290000}"/>
    <cellStyle name="40% - Accent4 6 5 5 2" xfId="13664" xr:uid="{00000000-0005-0000-0000-000069290000}"/>
    <cellStyle name="40% - Accent4 6 5 6" xfId="13665" xr:uid="{00000000-0005-0000-0000-00006A290000}"/>
    <cellStyle name="40% - Accent4 6 5 7" xfId="13656" xr:uid="{00000000-0005-0000-0000-00006B290000}"/>
    <cellStyle name="40% - Accent4 6 6" xfId="3470" xr:uid="{00000000-0005-0000-0000-00006C290000}"/>
    <cellStyle name="40% - Accent4 6 6 2" xfId="4600" xr:uid="{00000000-0005-0000-0000-00006D290000}"/>
    <cellStyle name="40% - Accent4 6 6 2 2" xfId="13668" xr:uid="{00000000-0005-0000-0000-00006E290000}"/>
    <cellStyle name="40% - Accent4 6 6 2 3" xfId="13667" xr:uid="{00000000-0005-0000-0000-00006F290000}"/>
    <cellStyle name="40% - Accent4 6 6 3" xfId="13669" xr:uid="{00000000-0005-0000-0000-000070290000}"/>
    <cellStyle name="40% - Accent4 6 6 3 2" xfId="13670" xr:uid="{00000000-0005-0000-0000-000071290000}"/>
    <cellStyle name="40% - Accent4 6 6 4" xfId="13671" xr:uid="{00000000-0005-0000-0000-000072290000}"/>
    <cellStyle name="40% - Accent4 6 6 4 2" xfId="13672" xr:uid="{00000000-0005-0000-0000-000073290000}"/>
    <cellStyle name="40% - Accent4 6 6 5" xfId="13673" xr:uid="{00000000-0005-0000-0000-000074290000}"/>
    <cellStyle name="40% - Accent4 6 6 5 2" xfId="13674" xr:uid="{00000000-0005-0000-0000-000075290000}"/>
    <cellStyle name="40% - Accent4 6 6 6" xfId="13675" xr:uid="{00000000-0005-0000-0000-000076290000}"/>
    <cellStyle name="40% - Accent4 6 6 7" xfId="13666" xr:uid="{00000000-0005-0000-0000-000077290000}"/>
    <cellStyle name="40% - Accent4 6 7" xfId="3776" xr:uid="{00000000-0005-0000-0000-000078290000}"/>
    <cellStyle name="40% - Accent4 6 7 2" xfId="4601" xr:uid="{00000000-0005-0000-0000-000079290000}"/>
    <cellStyle name="40% - Accent4 6 7 2 2" xfId="13678" xr:uid="{00000000-0005-0000-0000-00007A290000}"/>
    <cellStyle name="40% - Accent4 6 7 2 3" xfId="13677" xr:uid="{00000000-0005-0000-0000-00007B290000}"/>
    <cellStyle name="40% - Accent4 6 7 3" xfId="13679" xr:uid="{00000000-0005-0000-0000-00007C290000}"/>
    <cellStyle name="40% - Accent4 6 7 3 2" xfId="13680" xr:uid="{00000000-0005-0000-0000-00007D290000}"/>
    <cellStyle name="40% - Accent4 6 7 4" xfId="13681" xr:uid="{00000000-0005-0000-0000-00007E290000}"/>
    <cellStyle name="40% - Accent4 6 7 4 2" xfId="13682" xr:uid="{00000000-0005-0000-0000-00007F290000}"/>
    <cellStyle name="40% - Accent4 6 7 5" xfId="13683" xr:uid="{00000000-0005-0000-0000-000080290000}"/>
    <cellStyle name="40% - Accent4 6 7 5 2" xfId="13684" xr:uid="{00000000-0005-0000-0000-000081290000}"/>
    <cellStyle name="40% - Accent4 6 7 6" xfId="13685" xr:uid="{00000000-0005-0000-0000-000082290000}"/>
    <cellStyle name="40% - Accent4 6 7 7" xfId="13676" xr:uid="{00000000-0005-0000-0000-000083290000}"/>
    <cellStyle name="40% - Accent4 6 8" xfId="1366" xr:uid="{00000000-0005-0000-0000-000084290000}"/>
    <cellStyle name="40% - Accent4 6 8 10" xfId="24898" xr:uid="{00000000-0005-0000-0000-000085290000}"/>
    <cellStyle name="40% - Accent4 6 8 11" xfId="26509" xr:uid="{00000000-0005-0000-0000-000086290000}"/>
    <cellStyle name="40% - Accent4 6 8 2" xfId="4166" xr:uid="{00000000-0005-0000-0000-000087290000}"/>
    <cellStyle name="40% - Accent4 6 8 2 2" xfId="5418" xr:uid="{00000000-0005-0000-0000-000088290000}"/>
    <cellStyle name="40% - Accent4 6 8 2 2 2" xfId="6378" xr:uid="{00000000-0005-0000-0000-000089290000}"/>
    <cellStyle name="40% - Accent4 6 8 2 2 2 2" xfId="13689" xr:uid="{00000000-0005-0000-0000-00008A290000}"/>
    <cellStyle name="40% - Accent4 6 8 2 2 2 3" xfId="26512" xr:uid="{00000000-0005-0000-0000-00008B290000}"/>
    <cellStyle name="40% - Accent4 6 8 2 2 3" xfId="13688" xr:uid="{00000000-0005-0000-0000-00008C290000}"/>
    <cellStyle name="40% - Accent4 6 8 2 2 4" xfId="26511" xr:uid="{00000000-0005-0000-0000-00008D290000}"/>
    <cellStyle name="40% - Accent4 6 8 2 3" xfId="5728" xr:uid="{00000000-0005-0000-0000-00008E290000}"/>
    <cellStyle name="40% - Accent4 6 8 2 3 2" xfId="6379" xr:uid="{00000000-0005-0000-0000-00008F290000}"/>
    <cellStyle name="40% - Accent4 6 8 2 3 2 2" xfId="26514" xr:uid="{00000000-0005-0000-0000-000090290000}"/>
    <cellStyle name="40% - Accent4 6 8 2 3 3" xfId="13690" xr:uid="{00000000-0005-0000-0000-000091290000}"/>
    <cellStyle name="40% - Accent4 6 8 2 3 4" xfId="26513" xr:uid="{00000000-0005-0000-0000-000092290000}"/>
    <cellStyle name="40% - Accent4 6 8 2 4" xfId="4603" xr:uid="{00000000-0005-0000-0000-000093290000}"/>
    <cellStyle name="40% - Accent4 6 8 2 4 2" xfId="6380" xr:uid="{00000000-0005-0000-0000-000094290000}"/>
    <cellStyle name="40% - Accent4 6 8 2 4 2 2" xfId="26516" xr:uid="{00000000-0005-0000-0000-000095290000}"/>
    <cellStyle name="40% - Accent4 6 8 2 4 3" xfId="26515" xr:uid="{00000000-0005-0000-0000-000096290000}"/>
    <cellStyle name="40% - Accent4 6 8 2 5" xfId="6377" xr:uid="{00000000-0005-0000-0000-000097290000}"/>
    <cellStyle name="40% - Accent4 6 8 2 5 2" xfId="26517" xr:uid="{00000000-0005-0000-0000-000098290000}"/>
    <cellStyle name="40% - Accent4 6 8 2 6" xfId="13687" xr:uid="{00000000-0005-0000-0000-000099290000}"/>
    <cellStyle name="40% - Accent4 6 8 2 7" xfId="25018" xr:uid="{00000000-0005-0000-0000-00009A290000}"/>
    <cellStyle name="40% - Accent4 6 8 2 8" xfId="26510" xr:uid="{00000000-0005-0000-0000-00009B290000}"/>
    <cellStyle name="40% - Accent4 6 8 3" xfId="5417" xr:uid="{00000000-0005-0000-0000-00009C290000}"/>
    <cellStyle name="40% - Accent4 6 8 3 2" xfId="6381" xr:uid="{00000000-0005-0000-0000-00009D290000}"/>
    <cellStyle name="40% - Accent4 6 8 3 2 2" xfId="13692" xr:uid="{00000000-0005-0000-0000-00009E290000}"/>
    <cellStyle name="40% - Accent4 6 8 3 2 3" xfId="26519" xr:uid="{00000000-0005-0000-0000-00009F290000}"/>
    <cellStyle name="40% - Accent4 6 8 3 3" xfId="13691" xr:uid="{00000000-0005-0000-0000-0000A0290000}"/>
    <cellStyle name="40% - Accent4 6 8 3 4" xfId="26518" xr:uid="{00000000-0005-0000-0000-0000A1290000}"/>
    <cellStyle name="40% - Accent4 6 8 4" xfId="5727" xr:uid="{00000000-0005-0000-0000-0000A2290000}"/>
    <cellStyle name="40% - Accent4 6 8 4 2" xfId="6382" xr:uid="{00000000-0005-0000-0000-0000A3290000}"/>
    <cellStyle name="40% - Accent4 6 8 4 2 2" xfId="13694" xr:uid="{00000000-0005-0000-0000-0000A4290000}"/>
    <cellStyle name="40% - Accent4 6 8 4 2 3" xfId="26521" xr:uid="{00000000-0005-0000-0000-0000A5290000}"/>
    <cellStyle name="40% - Accent4 6 8 4 3" xfId="13693" xr:uid="{00000000-0005-0000-0000-0000A6290000}"/>
    <cellStyle name="40% - Accent4 6 8 4 4" xfId="26520" xr:uid="{00000000-0005-0000-0000-0000A7290000}"/>
    <cellStyle name="40% - Accent4 6 8 5" xfId="4602" xr:uid="{00000000-0005-0000-0000-0000A8290000}"/>
    <cellStyle name="40% - Accent4 6 8 5 2" xfId="6383" xr:uid="{00000000-0005-0000-0000-0000A9290000}"/>
    <cellStyle name="40% - Accent4 6 8 5 2 2" xfId="13697" xr:uid="{00000000-0005-0000-0000-0000AA290000}"/>
    <cellStyle name="40% - Accent4 6 8 5 2 3" xfId="13696" xr:uid="{00000000-0005-0000-0000-0000AB290000}"/>
    <cellStyle name="40% - Accent4 6 8 5 2 4" xfId="26523" xr:uid="{00000000-0005-0000-0000-0000AC290000}"/>
    <cellStyle name="40% - Accent4 6 8 5 3" xfId="13698" xr:uid="{00000000-0005-0000-0000-0000AD290000}"/>
    <cellStyle name="40% - Accent4 6 8 5 3 2" xfId="13699" xr:uid="{00000000-0005-0000-0000-0000AE290000}"/>
    <cellStyle name="40% - Accent4 6 8 5 4" xfId="13700" xr:uid="{00000000-0005-0000-0000-0000AF290000}"/>
    <cellStyle name="40% - Accent4 6 8 5 5" xfId="13695" xr:uid="{00000000-0005-0000-0000-0000B0290000}"/>
    <cellStyle name="40% - Accent4 6 8 5 6" xfId="26522" xr:uid="{00000000-0005-0000-0000-0000B1290000}"/>
    <cellStyle name="40% - Accent4 6 8 6" xfId="6376" xr:uid="{00000000-0005-0000-0000-0000B2290000}"/>
    <cellStyle name="40% - Accent4 6 8 6 2" xfId="13702" xr:uid="{00000000-0005-0000-0000-0000B3290000}"/>
    <cellStyle name="40% - Accent4 6 8 6 3" xfId="13701" xr:uid="{00000000-0005-0000-0000-0000B4290000}"/>
    <cellStyle name="40% - Accent4 6 8 6 4" xfId="26524" xr:uid="{00000000-0005-0000-0000-0000B5290000}"/>
    <cellStyle name="40% - Accent4 6 8 7" xfId="13703" xr:uid="{00000000-0005-0000-0000-0000B6290000}"/>
    <cellStyle name="40% - Accent4 6 8 7 2" xfId="13704" xr:uid="{00000000-0005-0000-0000-0000B7290000}"/>
    <cellStyle name="40% - Accent4 6 8 8" xfId="13705" xr:uid="{00000000-0005-0000-0000-0000B8290000}"/>
    <cellStyle name="40% - Accent4 6 8 9" xfId="13686" xr:uid="{00000000-0005-0000-0000-0000B9290000}"/>
    <cellStyle name="40% - Accent4 6 9" xfId="3826" xr:uid="{00000000-0005-0000-0000-0000BA290000}"/>
    <cellStyle name="40% - Accent4 6 9 2" xfId="5419" xr:uid="{00000000-0005-0000-0000-0000BB290000}"/>
    <cellStyle name="40% - Accent4 6 9 2 2" xfId="6385" xr:uid="{00000000-0005-0000-0000-0000BC290000}"/>
    <cellStyle name="40% - Accent4 6 9 2 2 2" xfId="13708" xr:uid="{00000000-0005-0000-0000-0000BD290000}"/>
    <cellStyle name="40% - Accent4 6 9 2 2 3" xfId="26527" xr:uid="{00000000-0005-0000-0000-0000BE290000}"/>
    <cellStyle name="40% - Accent4 6 9 2 3" xfId="13707" xr:uid="{00000000-0005-0000-0000-0000BF290000}"/>
    <cellStyle name="40% - Accent4 6 9 2 4" xfId="26526" xr:uid="{00000000-0005-0000-0000-0000C0290000}"/>
    <cellStyle name="40% - Accent4 6 9 3" xfId="5729" xr:uid="{00000000-0005-0000-0000-0000C1290000}"/>
    <cellStyle name="40% - Accent4 6 9 3 2" xfId="6386" xr:uid="{00000000-0005-0000-0000-0000C2290000}"/>
    <cellStyle name="40% - Accent4 6 9 3 2 2" xfId="13710" xr:uid="{00000000-0005-0000-0000-0000C3290000}"/>
    <cellStyle name="40% - Accent4 6 9 3 2 3" xfId="26529" xr:uid="{00000000-0005-0000-0000-0000C4290000}"/>
    <cellStyle name="40% - Accent4 6 9 3 3" xfId="13709" xr:uid="{00000000-0005-0000-0000-0000C5290000}"/>
    <cellStyle name="40% - Accent4 6 9 3 4" xfId="26528" xr:uid="{00000000-0005-0000-0000-0000C6290000}"/>
    <cellStyle name="40% - Accent4 6 9 4" xfId="4604" xr:uid="{00000000-0005-0000-0000-0000C7290000}"/>
    <cellStyle name="40% - Accent4 6 9 4 2" xfId="6387" xr:uid="{00000000-0005-0000-0000-0000C8290000}"/>
    <cellStyle name="40% - Accent4 6 9 4 2 2" xfId="13712" xr:uid="{00000000-0005-0000-0000-0000C9290000}"/>
    <cellStyle name="40% - Accent4 6 9 4 2 3" xfId="26531" xr:uid="{00000000-0005-0000-0000-0000CA290000}"/>
    <cellStyle name="40% - Accent4 6 9 4 3" xfId="13711" xr:uid="{00000000-0005-0000-0000-0000CB290000}"/>
    <cellStyle name="40% - Accent4 6 9 4 4" xfId="26530" xr:uid="{00000000-0005-0000-0000-0000CC290000}"/>
    <cellStyle name="40% - Accent4 6 9 5" xfId="6384" xr:uid="{00000000-0005-0000-0000-0000CD290000}"/>
    <cellStyle name="40% - Accent4 6 9 5 2" xfId="13713" xr:uid="{00000000-0005-0000-0000-0000CE290000}"/>
    <cellStyle name="40% - Accent4 6 9 5 3" xfId="26532" xr:uid="{00000000-0005-0000-0000-0000CF290000}"/>
    <cellStyle name="40% - Accent4 6 9 6" xfId="13706" xr:uid="{00000000-0005-0000-0000-0000D0290000}"/>
    <cellStyle name="40% - Accent4 6 9 7" xfId="24962" xr:uid="{00000000-0005-0000-0000-0000D1290000}"/>
    <cellStyle name="40% - Accent4 6 9 8" xfId="26525" xr:uid="{00000000-0005-0000-0000-0000D2290000}"/>
    <cellStyle name="40% - Accent4 7" xfId="397" xr:uid="{00000000-0005-0000-0000-0000D3290000}"/>
    <cellStyle name="40% - Accent4 7 10" xfId="13715" xr:uid="{00000000-0005-0000-0000-0000D4290000}"/>
    <cellStyle name="40% - Accent4 7 10 2" xfId="13716" xr:uid="{00000000-0005-0000-0000-0000D5290000}"/>
    <cellStyle name="40% - Accent4 7 10 2 2" xfId="13717" xr:uid="{00000000-0005-0000-0000-0000D6290000}"/>
    <cellStyle name="40% - Accent4 7 10 3" xfId="13718" xr:uid="{00000000-0005-0000-0000-0000D7290000}"/>
    <cellStyle name="40% - Accent4 7 10 3 2" xfId="13719" xr:uid="{00000000-0005-0000-0000-0000D8290000}"/>
    <cellStyle name="40% - Accent4 7 10 4" xfId="13720" xr:uid="{00000000-0005-0000-0000-0000D9290000}"/>
    <cellStyle name="40% - Accent4 7 11" xfId="13721" xr:uid="{00000000-0005-0000-0000-0000DA290000}"/>
    <cellStyle name="40% - Accent4 7 11 2" xfId="13722" xr:uid="{00000000-0005-0000-0000-0000DB290000}"/>
    <cellStyle name="40% - Accent4 7 11 2 2" xfId="13723" xr:uid="{00000000-0005-0000-0000-0000DC290000}"/>
    <cellStyle name="40% - Accent4 7 11 3" xfId="13724" xr:uid="{00000000-0005-0000-0000-0000DD290000}"/>
    <cellStyle name="40% - Accent4 7 11 3 2" xfId="13725" xr:uid="{00000000-0005-0000-0000-0000DE290000}"/>
    <cellStyle name="40% - Accent4 7 11 4" xfId="13726" xr:uid="{00000000-0005-0000-0000-0000DF290000}"/>
    <cellStyle name="40% - Accent4 7 12" xfId="13727" xr:uid="{00000000-0005-0000-0000-0000E0290000}"/>
    <cellStyle name="40% - Accent4 7 12 2" xfId="13728" xr:uid="{00000000-0005-0000-0000-0000E1290000}"/>
    <cellStyle name="40% - Accent4 7 12 2 2" xfId="13729" xr:uid="{00000000-0005-0000-0000-0000E2290000}"/>
    <cellStyle name="40% - Accent4 7 12 3" xfId="13730" xr:uid="{00000000-0005-0000-0000-0000E3290000}"/>
    <cellStyle name="40% - Accent4 7 12 3 2" xfId="13731" xr:uid="{00000000-0005-0000-0000-0000E4290000}"/>
    <cellStyle name="40% - Accent4 7 12 4" xfId="13732" xr:uid="{00000000-0005-0000-0000-0000E5290000}"/>
    <cellStyle name="40% - Accent4 7 13" xfId="13733" xr:uid="{00000000-0005-0000-0000-0000E6290000}"/>
    <cellStyle name="40% - Accent4 7 13 2" xfId="13734" xr:uid="{00000000-0005-0000-0000-0000E7290000}"/>
    <cellStyle name="40% - Accent4 7 14" xfId="13735" xr:uid="{00000000-0005-0000-0000-0000E8290000}"/>
    <cellStyle name="40% - Accent4 7 14 2" xfId="13736" xr:uid="{00000000-0005-0000-0000-0000E9290000}"/>
    <cellStyle name="40% - Accent4 7 15" xfId="13737" xr:uid="{00000000-0005-0000-0000-0000EA290000}"/>
    <cellStyle name="40% - Accent4 7 15 2" xfId="13738" xr:uid="{00000000-0005-0000-0000-0000EB290000}"/>
    <cellStyle name="40% - Accent4 7 16" xfId="13739" xr:uid="{00000000-0005-0000-0000-0000EC290000}"/>
    <cellStyle name="40% - Accent4 7 16 2" xfId="13740" xr:uid="{00000000-0005-0000-0000-0000ED290000}"/>
    <cellStyle name="40% - Accent4 7 17" xfId="13741" xr:uid="{00000000-0005-0000-0000-0000EE290000}"/>
    <cellStyle name="40% - Accent4 7 18" xfId="13714" xr:uid="{00000000-0005-0000-0000-0000EF290000}"/>
    <cellStyle name="40% - Accent4 7 2" xfId="4605" xr:uid="{00000000-0005-0000-0000-0000F0290000}"/>
    <cellStyle name="40% - Accent4 7 2 2" xfId="13743" xr:uid="{00000000-0005-0000-0000-0000F1290000}"/>
    <cellStyle name="40% - Accent4 7 2 2 2" xfId="13744" xr:uid="{00000000-0005-0000-0000-0000F2290000}"/>
    <cellStyle name="40% - Accent4 7 2 3" xfId="13745" xr:uid="{00000000-0005-0000-0000-0000F3290000}"/>
    <cellStyle name="40% - Accent4 7 2 3 2" xfId="13746" xr:uid="{00000000-0005-0000-0000-0000F4290000}"/>
    <cellStyle name="40% - Accent4 7 2 4" xfId="13747" xr:uid="{00000000-0005-0000-0000-0000F5290000}"/>
    <cellStyle name="40% - Accent4 7 2 5" xfId="13742" xr:uid="{00000000-0005-0000-0000-0000F6290000}"/>
    <cellStyle name="40% - Accent4 7 3" xfId="13748" xr:uid="{00000000-0005-0000-0000-0000F7290000}"/>
    <cellStyle name="40% - Accent4 7 3 2" xfId="13749" xr:uid="{00000000-0005-0000-0000-0000F8290000}"/>
    <cellStyle name="40% - Accent4 7 3 2 2" xfId="13750" xr:uid="{00000000-0005-0000-0000-0000F9290000}"/>
    <cellStyle name="40% - Accent4 7 3 3" xfId="13751" xr:uid="{00000000-0005-0000-0000-0000FA290000}"/>
    <cellStyle name="40% - Accent4 7 3 3 2" xfId="13752" xr:uid="{00000000-0005-0000-0000-0000FB290000}"/>
    <cellStyle name="40% - Accent4 7 3 4" xfId="13753" xr:uid="{00000000-0005-0000-0000-0000FC290000}"/>
    <cellStyle name="40% - Accent4 7 4" xfId="13754" xr:uid="{00000000-0005-0000-0000-0000FD290000}"/>
    <cellStyle name="40% - Accent4 7 4 2" xfId="13755" xr:uid="{00000000-0005-0000-0000-0000FE290000}"/>
    <cellStyle name="40% - Accent4 7 4 2 2" xfId="13756" xr:uid="{00000000-0005-0000-0000-0000FF290000}"/>
    <cellStyle name="40% - Accent4 7 4 3" xfId="13757" xr:uid="{00000000-0005-0000-0000-0000002A0000}"/>
    <cellStyle name="40% - Accent4 7 4 3 2" xfId="13758" xr:uid="{00000000-0005-0000-0000-0000012A0000}"/>
    <cellStyle name="40% - Accent4 7 4 4" xfId="13759" xr:uid="{00000000-0005-0000-0000-0000022A0000}"/>
    <cellStyle name="40% - Accent4 7 5" xfId="13760" xr:uid="{00000000-0005-0000-0000-0000032A0000}"/>
    <cellStyle name="40% - Accent4 7 5 2" xfId="13761" xr:uid="{00000000-0005-0000-0000-0000042A0000}"/>
    <cellStyle name="40% - Accent4 7 5 2 2" xfId="13762" xr:uid="{00000000-0005-0000-0000-0000052A0000}"/>
    <cellStyle name="40% - Accent4 7 5 3" xfId="13763" xr:uid="{00000000-0005-0000-0000-0000062A0000}"/>
    <cellStyle name="40% - Accent4 7 5 3 2" xfId="13764" xr:uid="{00000000-0005-0000-0000-0000072A0000}"/>
    <cellStyle name="40% - Accent4 7 5 4" xfId="13765" xr:uid="{00000000-0005-0000-0000-0000082A0000}"/>
    <cellStyle name="40% - Accent4 7 6" xfId="13766" xr:uid="{00000000-0005-0000-0000-0000092A0000}"/>
    <cellStyle name="40% - Accent4 7 6 2" xfId="13767" xr:uid="{00000000-0005-0000-0000-00000A2A0000}"/>
    <cellStyle name="40% - Accent4 7 6 2 2" xfId="13768" xr:uid="{00000000-0005-0000-0000-00000B2A0000}"/>
    <cellStyle name="40% - Accent4 7 6 3" xfId="13769" xr:uid="{00000000-0005-0000-0000-00000C2A0000}"/>
    <cellStyle name="40% - Accent4 7 6 3 2" xfId="13770" xr:uid="{00000000-0005-0000-0000-00000D2A0000}"/>
    <cellStyle name="40% - Accent4 7 6 4" xfId="13771" xr:uid="{00000000-0005-0000-0000-00000E2A0000}"/>
    <cellStyle name="40% - Accent4 7 7" xfId="13772" xr:uid="{00000000-0005-0000-0000-00000F2A0000}"/>
    <cellStyle name="40% - Accent4 7 7 2" xfId="13773" xr:uid="{00000000-0005-0000-0000-0000102A0000}"/>
    <cellStyle name="40% - Accent4 7 7 2 2" xfId="13774" xr:uid="{00000000-0005-0000-0000-0000112A0000}"/>
    <cellStyle name="40% - Accent4 7 7 3" xfId="13775" xr:uid="{00000000-0005-0000-0000-0000122A0000}"/>
    <cellStyle name="40% - Accent4 7 7 3 2" xfId="13776" xr:uid="{00000000-0005-0000-0000-0000132A0000}"/>
    <cellStyle name="40% - Accent4 7 7 4" xfId="13777" xr:uid="{00000000-0005-0000-0000-0000142A0000}"/>
    <cellStyle name="40% - Accent4 7 8" xfId="13778" xr:uid="{00000000-0005-0000-0000-0000152A0000}"/>
    <cellStyle name="40% - Accent4 7 8 2" xfId="13779" xr:uid="{00000000-0005-0000-0000-0000162A0000}"/>
    <cellStyle name="40% - Accent4 7 8 2 2" xfId="13780" xr:uid="{00000000-0005-0000-0000-0000172A0000}"/>
    <cellStyle name="40% - Accent4 7 8 3" xfId="13781" xr:uid="{00000000-0005-0000-0000-0000182A0000}"/>
    <cellStyle name="40% - Accent4 7 8 3 2" xfId="13782" xr:uid="{00000000-0005-0000-0000-0000192A0000}"/>
    <cellStyle name="40% - Accent4 7 8 4" xfId="13783" xr:uid="{00000000-0005-0000-0000-00001A2A0000}"/>
    <cellStyle name="40% - Accent4 7 9" xfId="13784" xr:uid="{00000000-0005-0000-0000-00001B2A0000}"/>
    <cellStyle name="40% - Accent4 7 9 2" xfId="13785" xr:uid="{00000000-0005-0000-0000-00001C2A0000}"/>
    <cellStyle name="40% - Accent4 7 9 2 2" xfId="13786" xr:uid="{00000000-0005-0000-0000-00001D2A0000}"/>
    <cellStyle name="40% - Accent4 7 9 3" xfId="13787" xr:uid="{00000000-0005-0000-0000-00001E2A0000}"/>
    <cellStyle name="40% - Accent4 7 9 3 2" xfId="13788" xr:uid="{00000000-0005-0000-0000-00001F2A0000}"/>
    <cellStyle name="40% - Accent4 7 9 4" xfId="13789" xr:uid="{00000000-0005-0000-0000-0000202A0000}"/>
    <cellStyle name="40% - Accent4 8" xfId="547" xr:uid="{00000000-0005-0000-0000-0000212A0000}"/>
    <cellStyle name="40% - Accent4 8 10" xfId="13790" xr:uid="{00000000-0005-0000-0000-0000222A0000}"/>
    <cellStyle name="40% - Accent4 8 11" xfId="24854" xr:uid="{00000000-0005-0000-0000-0000232A0000}"/>
    <cellStyle name="40% - Accent4 8 12" xfId="26533" xr:uid="{00000000-0005-0000-0000-0000242A0000}"/>
    <cellStyle name="40% - Accent4 8 2" xfId="1379" xr:uid="{00000000-0005-0000-0000-0000252A0000}"/>
    <cellStyle name="40% - Accent4 8 2 10" xfId="24911" xr:uid="{00000000-0005-0000-0000-0000262A0000}"/>
    <cellStyle name="40% - Accent4 8 2 11" xfId="26534" xr:uid="{00000000-0005-0000-0000-0000272A0000}"/>
    <cellStyle name="40% - Accent4 8 2 2" xfId="4179" xr:uid="{00000000-0005-0000-0000-0000282A0000}"/>
    <cellStyle name="40% - Accent4 8 2 2 2" xfId="5422" xr:uid="{00000000-0005-0000-0000-0000292A0000}"/>
    <cellStyle name="40% - Accent4 8 2 2 2 2" xfId="6391" xr:uid="{00000000-0005-0000-0000-00002A2A0000}"/>
    <cellStyle name="40% - Accent4 8 2 2 2 2 2" xfId="13794" xr:uid="{00000000-0005-0000-0000-00002B2A0000}"/>
    <cellStyle name="40% - Accent4 8 2 2 2 2 3" xfId="26537" xr:uid="{00000000-0005-0000-0000-00002C2A0000}"/>
    <cellStyle name="40% - Accent4 8 2 2 2 3" xfId="13793" xr:uid="{00000000-0005-0000-0000-00002D2A0000}"/>
    <cellStyle name="40% - Accent4 8 2 2 2 4" xfId="26536" xr:uid="{00000000-0005-0000-0000-00002E2A0000}"/>
    <cellStyle name="40% - Accent4 8 2 2 3" xfId="5732" xr:uid="{00000000-0005-0000-0000-00002F2A0000}"/>
    <cellStyle name="40% - Accent4 8 2 2 3 2" xfId="6392" xr:uid="{00000000-0005-0000-0000-0000302A0000}"/>
    <cellStyle name="40% - Accent4 8 2 2 3 2 2" xfId="26539" xr:uid="{00000000-0005-0000-0000-0000312A0000}"/>
    <cellStyle name="40% - Accent4 8 2 2 3 3" xfId="13795" xr:uid="{00000000-0005-0000-0000-0000322A0000}"/>
    <cellStyle name="40% - Accent4 8 2 2 3 4" xfId="26538" xr:uid="{00000000-0005-0000-0000-0000332A0000}"/>
    <cellStyle name="40% - Accent4 8 2 2 4" xfId="4608" xr:uid="{00000000-0005-0000-0000-0000342A0000}"/>
    <cellStyle name="40% - Accent4 8 2 2 4 2" xfId="6393" xr:uid="{00000000-0005-0000-0000-0000352A0000}"/>
    <cellStyle name="40% - Accent4 8 2 2 4 2 2" xfId="26541" xr:uid="{00000000-0005-0000-0000-0000362A0000}"/>
    <cellStyle name="40% - Accent4 8 2 2 4 3" xfId="26540" xr:uid="{00000000-0005-0000-0000-0000372A0000}"/>
    <cellStyle name="40% - Accent4 8 2 2 5" xfId="6390" xr:uid="{00000000-0005-0000-0000-0000382A0000}"/>
    <cellStyle name="40% - Accent4 8 2 2 5 2" xfId="26542" xr:uid="{00000000-0005-0000-0000-0000392A0000}"/>
    <cellStyle name="40% - Accent4 8 2 2 6" xfId="13792" xr:uid="{00000000-0005-0000-0000-00003A2A0000}"/>
    <cellStyle name="40% - Accent4 8 2 2 7" xfId="25031" xr:uid="{00000000-0005-0000-0000-00003B2A0000}"/>
    <cellStyle name="40% - Accent4 8 2 2 8" xfId="26535" xr:uid="{00000000-0005-0000-0000-00003C2A0000}"/>
    <cellStyle name="40% - Accent4 8 2 3" xfId="5421" xr:uid="{00000000-0005-0000-0000-00003D2A0000}"/>
    <cellStyle name="40% - Accent4 8 2 3 2" xfId="6394" xr:uid="{00000000-0005-0000-0000-00003E2A0000}"/>
    <cellStyle name="40% - Accent4 8 2 3 2 2" xfId="13797" xr:uid="{00000000-0005-0000-0000-00003F2A0000}"/>
    <cellStyle name="40% - Accent4 8 2 3 2 3" xfId="26544" xr:uid="{00000000-0005-0000-0000-0000402A0000}"/>
    <cellStyle name="40% - Accent4 8 2 3 3" xfId="13796" xr:uid="{00000000-0005-0000-0000-0000412A0000}"/>
    <cellStyle name="40% - Accent4 8 2 3 4" xfId="26543" xr:uid="{00000000-0005-0000-0000-0000422A0000}"/>
    <cellStyle name="40% - Accent4 8 2 4" xfId="5731" xr:uid="{00000000-0005-0000-0000-0000432A0000}"/>
    <cellStyle name="40% - Accent4 8 2 4 2" xfId="6395" xr:uid="{00000000-0005-0000-0000-0000442A0000}"/>
    <cellStyle name="40% - Accent4 8 2 4 2 2" xfId="13799" xr:uid="{00000000-0005-0000-0000-0000452A0000}"/>
    <cellStyle name="40% - Accent4 8 2 4 2 3" xfId="26546" xr:uid="{00000000-0005-0000-0000-0000462A0000}"/>
    <cellStyle name="40% - Accent4 8 2 4 3" xfId="13798" xr:uid="{00000000-0005-0000-0000-0000472A0000}"/>
    <cellStyle name="40% - Accent4 8 2 4 4" xfId="26545" xr:uid="{00000000-0005-0000-0000-0000482A0000}"/>
    <cellStyle name="40% - Accent4 8 2 5" xfId="4607" xr:uid="{00000000-0005-0000-0000-0000492A0000}"/>
    <cellStyle name="40% - Accent4 8 2 5 2" xfId="6396" xr:uid="{00000000-0005-0000-0000-00004A2A0000}"/>
    <cellStyle name="40% - Accent4 8 2 5 2 2" xfId="13802" xr:uid="{00000000-0005-0000-0000-00004B2A0000}"/>
    <cellStyle name="40% - Accent4 8 2 5 2 3" xfId="13801" xr:uid="{00000000-0005-0000-0000-00004C2A0000}"/>
    <cellStyle name="40% - Accent4 8 2 5 2 4" xfId="26548" xr:uid="{00000000-0005-0000-0000-00004D2A0000}"/>
    <cellStyle name="40% - Accent4 8 2 5 3" xfId="13803" xr:uid="{00000000-0005-0000-0000-00004E2A0000}"/>
    <cellStyle name="40% - Accent4 8 2 5 3 2" xfId="13804" xr:uid="{00000000-0005-0000-0000-00004F2A0000}"/>
    <cellStyle name="40% - Accent4 8 2 5 4" xfId="13805" xr:uid="{00000000-0005-0000-0000-0000502A0000}"/>
    <cellStyle name="40% - Accent4 8 2 5 5" xfId="13800" xr:uid="{00000000-0005-0000-0000-0000512A0000}"/>
    <cellStyle name="40% - Accent4 8 2 5 6" xfId="26547" xr:uid="{00000000-0005-0000-0000-0000522A0000}"/>
    <cellStyle name="40% - Accent4 8 2 6" xfId="6389" xr:uid="{00000000-0005-0000-0000-0000532A0000}"/>
    <cellStyle name="40% - Accent4 8 2 6 2" xfId="13807" xr:uid="{00000000-0005-0000-0000-0000542A0000}"/>
    <cellStyle name="40% - Accent4 8 2 6 3" xfId="13806" xr:uid="{00000000-0005-0000-0000-0000552A0000}"/>
    <cellStyle name="40% - Accent4 8 2 6 4" xfId="26549" xr:uid="{00000000-0005-0000-0000-0000562A0000}"/>
    <cellStyle name="40% - Accent4 8 2 7" xfId="13808" xr:uid="{00000000-0005-0000-0000-0000572A0000}"/>
    <cellStyle name="40% - Accent4 8 2 7 2" xfId="13809" xr:uid="{00000000-0005-0000-0000-0000582A0000}"/>
    <cellStyle name="40% - Accent4 8 2 8" xfId="13810" xr:uid="{00000000-0005-0000-0000-0000592A0000}"/>
    <cellStyle name="40% - Accent4 8 2 9" xfId="13791" xr:uid="{00000000-0005-0000-0000-00005A2A0000}"/>
    <cellStyle name="40% - Accent4 8 3" xfId="3840" xr:uid="{00000000-0005-0000-0000-00005B2A0000}"/>
    <cellStyle name="40% - Accent4 8 3 2" xfId="5423" xr:uid="{00000000-0005-0000-0000-00005C2A0000}"/>
    <cellStyle name="40% - Accent4 8 3 2 2" xfId="6398" xr:uid="{00000000-0005-0000-0000-00005D2A0000}"/>
    <cellStyle name="40% - Accent4 8 3 2 2 2" xfId="13813" xr:uid="{00000000-0005-0000-0000-00005E2A0000}"/>
    <cellStyle name="40% - Accent4 8 3 2 2 3" xfId="26552" xr:uid="{00000000-0005-0000-0000-00005F2A0000}"/>
    <cellStyle name="40% - Accent4 8 3 2 3" xfId="13812" xr:uid="{00000000-0005-0000-0000-0000602A0000}"/>
    <cellStyle name="40% - Accent4 8 3 2 4" xfId="26551" xr:uid="{00000000-0005-0000-0000-0000612A0000}"/>
    <cellStyle name="40% - Accent4 8 3 3" xfId="5733" xr:uid="{00000000-0005-0000-0000-0000622A0000}"/>
    <cellStyle name="40% - Accent4 8 3 3 2" xfId="6399" xr:uid="{00000000-0005-0000-0000-0000632A0000}"/>
    <cellStyle name="40% - Accent4 8 3 3 2 2" xfId="26554" xr:uid="{00000000-0005-0000-0000-0000642A0000}"/>
    <cellStyle name="40% - Accent4 8 3 3 3" xfId="13814" xr:uid="{00000000-0005-0000-0000-0000652A0000}"/>
    <cellStyle name="40% - Accent4 8 3 3 4" xfId="26553" xr:uid="{00000000-0005-0000-0000-0000662A0000}"/>
    <cellStyle name="40% - Accent4 8 3 4" xfId="4609" xr:uid="{00000000-0005-0000-0000-0000672A0000}"/>
    <cellStyle name="40% - Accent4 8 3 4 2" xfId="6400" xr:uid="{00000000-0005-0000-0000-0000682A0000}"/>
    <cellStyle name="40% - Accent4 8 3 4 2 2" xfId="26556" xr:uid="{00000000-0005-0000-0000-0000692A0000}"/>
    <cellStyle name="40% - Accent4 8 3 4 3" xfId="26555" xr:uid="{00000000-0005-0000-0000-00006A2A0000}"/>
    <cellStyle name="40% - Accent4 8 3 5" xfId="6397" xr:uid="{00000000-0005-0000-0000-00006B2A0000}"/>
    <cellStyle name="40% - Accent4 8 3 5 2" xfId="26557" xr:uid="{00000000-0005-0000-0000-00006C2A0000}"/>
    <cellStyle name="40% - Accent4 8 3 6" xfId="13811" xr:uid="{00000000-0005-0000-0000-00006D2A0000}"/>
    <cellStyle name="40% - Accent4 8 3 7" xfId="24976" xr:uid="{00000000-0005-0000-0000-00006E2A0000}"/>
    <cellStyle name="40% - Accent4 8 3 8" xfId="26550" xr:uid="{00000000-0005-0000-0000-00006F2A0000}"/>
    <cellStyle name="40% - Accent4 8 4" xfId="5420" xr:uid="{00000000-0005-0000-0000-0000702A0000}"/>
    <cellStyle name="40% - Accent4 8 4 2" xfId="6401" xr:uid="{00000000-0005-0000-0000-0000712A0000}"/>
    <cellStyle name="40% - Accent4 8 4 2 2" xfId="13816" xr:uid="{00000000-0005-0000-0000-0000722A0000}"/>
    <cellStyle name="40% - Accent4 8 4 2 3" xfId="26559" xr:uid="{00000000-0005-0000-0000-0000732A0000}"/>
    <cellStyle name="40% - Accent4 8 4 3" xfId="13815" xr:uid="{00000000-0005-0000-0000-0000742A0000}"/>
    <cellStyle name="40% - Accent4 8 4 4" xfId="26558" xr:uid="{00000000-0005-0000-0000-0000752A0000}"/>
    <cellStyle name="40% - Accent4 8 5" xfId="5730" xr:uid="{00000000-0005-0000-0000-0000762A0000}"/>
    <cellStyle name="40% - Accent4 8 5 2" xfId="6402" xr:uid="{00000000-0005-0000-0000-0000772A0000}"/>
    <cellStyle name="40% - Accent4 8 5 2 2" xfId="13818" xr:uid="{00000000-0005-0000-0000-0000782A0000}"/>
    <cellStyle name="40% - Accent4 8 5 2 3" xfId="26561" xr:uid="{00000000-0005-0000-0000-0000792A0000}"/>
    <cellStyle name="40% - Accent4 8 5 3" xfId="13817" xr:uid="{00000000-0005-0000-0000-00007A2A0000}"/>
    <cellStyle name="40% - Accent4 8 5 4" xfId="26560" xr:uid="{00000000-0005-0000-0000-00007B2A0000}"/>
    <cellStyle name="40% - Accent4 8 6" xfId="4606" xr:uid="{00000000-0005-0000-0000-00007C2A0000}"/>
    <cellStyle name="40% - Accent4 8 6 2" xfId="6403" xr:uid="{00000000-0005-0000-0000-00007D2A0000}"/>
    <cellStyle name="40% - Accent4 8 6 2 2" xfId="13821" xr:uid="{00000000-0005-0000-0000-00007E2A0000}"/>
    <cellStyle name="40% - Accent4 8 6 2 3" xfId="13820" xr:uid="{00000000-0005-0000-0000-00007F2A0000}"/>
    <cellStyle name="40% - Accent4 8 6 2 4" xfId="26563" xr:uid="{00000000-0005-0000-0000-0000802A0000}"/>
    <cellStyle name="40% - Accent4 8 6 3" xfId="13822" xr:uid="{00000000-0005-0000-0000-0000812A0000}"/>
    <cellStyle name="40% - Accent4 8 6 3 2" xfId="13823" xr:uid="{00000000-0005-0000-0000-0000822A0000}"/>
    <cellStyle name="40% - Accent4 8 6 4" xfId="13824" xr:uid="{00000000-0005-0000-0000-0000832A0000}"/>
    <cellStyle name="40% - Accent4 8 6 5" xfId="13819" xr:uid="{00000000-0005-0000-0000-0000842A0000}"/>
    <cellStyle name="40% - Accent4 8 6 6" xfId="26562" xr:uid="{00000000-0005-0000-0000-0000852A0000}"/>
    <cellStyle name="40% - Accent4 8 7" xfId="6388" xr:uid="{00000000-0005-0000-0000-0000862A0000}"/>
    <cellStyle name="40% - Accent4 8 7 2" xfId="13826" xr:uid="{00000000-0005-0000-0000-0000872A0000}"/>
    <cellStyle name="40% - Accent4 8 7 3" xfId="13825" xr:uid="{00000000-0005-0000-0000-0000882A0000}"/>
    <cellStyle name="40% - Accent4 8 7 4" xfId="26564" xr:uid="{00000000-0005-0000-0000-0000892A0000}"/>
    <cellStyle name="40% - Accent4 8 8" xfId="13827" xr:uid="{00000000-0005-0000-0000-00008A2A0000}"/>
    <cellStyle name="40% - Accent4 8 8 2" xfId="13828" xr:uid="{00000000-0005-0000-0000-00008B2A0000}"/>
    <cellStyle name="40% - Accent4 8 9" xfId="13829" xr:uid="{00000000-0005-0000-0000-00008C2A0000}"/>
    <cellStyle name="40% - Accent4 9" xfId="548" xr:uid="{00000000-0005-0000-0000-00008D2A0000}"/>
    <cellStyle name="40% - Accent4 9 2" xfId="4610" xr:uid="{00000000-0005-0000-0000-00008E2A0000}"/>
    <cellStyle name="40% - Accent4 9 2 2" xfId="13832" xr:uid="{00000000-0005-0000-0000-00008F2A0000}"/>
    <cellStyle name="40% - Accent4 9 2 2 2" xfId="13833" xr:uid="{00000000-0005-0000-0000-0000902A0000}"/>
    <cellStyle name="40% - Accent4 9 2 3" xfId="13834" xr:uid="{00000000-0005-0000-0000-0000912A0000}"/>
    <cellStyle name="40% - Accent4 9 2 3 2" xfId="13835" xr:uid="{00000000-0005-0000-0000-0000922A0000}"/>
    <cellStyle name="40% - Accent4 9 2 4" xfId="13836" xr:uid="{00000000-0005-0000-0000-0000932A0000}"/>
    <cellStyle name="40% - Accent4 9 2 5" xfId="13831" xr:uid="{00000000-0005-0000-0000-0000942A0000}"/>
    <cellStyle name="40% - Accent4 9 3" xfId="13837" xr:uid="{00000000-0005-0000-0000-0000952A0000}"/>
    <cellStyle name="40% - Accent4 9 3 2" xfId="13838" xr:uid="{00000000-0005-0000-0000-0000962A0000}"/>
    <cellStyle name="40% - Accent4 9 4" xfId="13839" xr:uid="{00000000-0005-0000-0000-0000972A0000}"/>
    <cellStyle name="40% - Accent4 9 4 2" xfId="13840" xr:uid="{00000000-0005-0000-0000-0000982A0000}"/>
    <cellStyle name="40% - Accent4 9 5" xfId="13841" xr:uid="{00000000-0005-0000-0000-0000992A0000}"/>
    <cellStyle name="40% - Accent4 9 5 2" xfId="13842" xr:uid="{00000000-0005-0000-0000-00009A2A0000}"/>
    <cellStyle name="40% - Accent4 9 6" xfId="13843" xr:uid="{00000000-0005-0000-0000-00009B2A0000}"/>
    <cellStyle name="40% - Accent4 9 6 2" xfId="13844" xr:uid="{00000000-0005-0000-0000-00009C2A0000}"/>
    <cellStyle name="40% - Accent4 9 7" xfId="13845" xr:uid="{00000000-0005-0000-0000-00009D2A0000}"/>
    <cellStyle name="40% - Accent4 9 8" xfId="13830" xr:uid="{00000000-0005-0000-0000-00009E2A0000}"/>
    <cellStyle name="40% - Accent5 10" xfId="680" xr:uid="{00000000-0005-0000-0000-00009F2A0000}"/>
    <cellStyle name="40% - Accent5 10 2" xfId="4611" xr:uid="{00000000-0005-0000-0000-0000A02A0000}"/>
    <cellStyle name="40% - Accent5 10 2 2" xfId="13849" xr:uid="{00000000-0005-0000-0000-0000A12A0000}"/>
    <cellStyle name="40% - Accent5 10 2 3" xfId="13848" xr:uid="{00000000-0005-0000-0000-0000A22A0000}"/>
    <cellStyle name="40% - Accent5 10 3" xfId="13850" xr:uid="{00000000-0005-0000-0000-0000A32A0000}"/>
    <cellStyle name="40% - Accent5 10 3 2" xfId="13851" xr:uid="{00000000-0005-0000-0000-0000A42A0000}"/>
    <cellStyle name="40% - Accent5 10 4" xfId="13852" xr:uid="{00000000-0005-0000-0000-0000A52A0000}"/>
    <cellStyle name="40% - Accent5 10 4 2" xfId="13853" xr:uid="{00000000-0005-0000-0000-0000A62A0000}"/>
    <cellStyle name="40% - Accent5 10 5" xfId="13854" xr:uid="{00000000-0005-0000-0000-0000A72A0000}"/>
    <cellStyle name="40% - Accent5 10 5 2" xfId="13855" xr:uid="{00000000-0005-0000-0000-0000A82A0000}"/>
    <cellStyle name="40% - Accent5 10 6" xfId="13856" xr:uid="{00000000-0005-0000-0000-0000A92A0000}"/>
    <cellStyle name="40% - Accent5 10 7" xfId="13847" xr:uid="{00000000-0005-0000-0000-0000AA2A0000}"/>
    <cellStyle name="40% - Accent5 11" xfId="681" xr:uid="{00000000-0005-0000-0000-0000AB2A0000}"/>
    <cellStyle name="40% - Accent5 11 2" xfId="4612" xr:uid="{00000000-0005-0000-0000-0000AC2A0000}"/>
    <cellStyle name="40% - Accent5 11 2 2" xfId="13859" xr:uid="{00000000-0005-0000-0000-0000AD2A0000}"/>
    <cellStyle name="40% - Accent5 11 2 3" xfId="13858" xr:uid="{00000000-0005-0000-0000-0000AE2A0000}"/>
    <cellStyle name="40% - Accent5 11 3" xfId="13860" xr:uid="{00000000-0005-0000-0000-0000AF2A0000}"/>
    <cellStyle name="40% - Accent5 11 3 2" xfId="13861" xr:uid="{00000000-0005-0000-0000-0000B02A0000}"/>
    <cellStyle name="40% - Accent5 11 4" xfId="13862" xr:uid="{00000000-0005-0000-0000-0000B12A0000}"/>
    <cellStyle name="40% - Accent5 11 4 2" xfId="13863" xr:uid="{00000000-0005-0000-0000-0000B22A0000}"/>
    <cellStyle name="40% - Accent5 11 5" xfId="13864" xr:uid="{00000000-0005-0000-0000-0000B32A0000}"/>
    <cellStyle name="40% - Accent5 11 5 2" xfId="13865" xr:uid="{00000000-0005-0000-0000-0000B42A0000}"/>
    <cellStyle name="40% - Accent5 11 6" xfId="13866" xr:uid="{00000000-0005-0000-0000-0000B52A0000}"/>
    <cellStyle name="40% - Accent5 11 7" xfId="13857" xr:uid="{00000000-0005-0000-0000-0000B62A0000}"/>
    <cellStyle name="40% - Accent5 12" xfId="828" xr:uid="{00000000-0005-0000-0000-0000B72A0000}"/>
    <cellStyle name="40% - Accent5 12 2" xfId="13868" xr:uid="{00000000-0005-0000-0000-0000B82A0000}"/>
    <cellStyle name="40% - Accent5 12 2 2" xfId="13869" xr:uid="{00000000-0005-0000-0000-0000B92A0000}"/>
    <cellStyle name="40% - Accent5 12 3" xfId="13870" xr:uid="{00000000-0005-0000-0000-0000BA2A0000}"/>
    <cellStyle name="40% - Accent5 12 3 2" xfId="13871" xr:uid="{00000000-0005-0000-0000-0000BB2A0000}"/>
    <cellStyle name="40% - Accent5 12 4" xfId="13872" xr:uid="{00000000-0005-0000-0000-0000BC2A0000}"/>
    <cellStyle name="40% - Accent5 12 5" xfId="13867" xr:uid="{00000000-0005-0000-0000-0000BD2A0000}"/>
    <cellStyle name="40% - Accent5 13" xfId="829" xr:uid="{00000000-0005-0000-0000-0000BE2A0000}"/>
    <cellStyle name="40% - Accent5 13 2" xfId="3855" xr:uid="{00000000-0005-0000-0000-0000BF2A0000}"/>
    <cellStyle name="40% - Accent5 13 2 2" xfId="6405" xr:uid="{00000000-0005-0000-0000-0000C02A0000}"/>
    <cellStyle name="40% - Accent5 13 2 2 2" xfId="13875" xr:uid="{00000000-0005-0000-0000-0000C12A0000}"/>
    <cellStyle name="40% - Accent5 13 2 2 3" xfId="26567" xr:uid="{00000000-0005-0000-0000-0000C22A0000}"/>
    <cellStyle name="40% - Accent5 13 2 3" xfId="13874" xr:uid="{00000000-0005-0000-0000-0000C32A0000}"/>
    <cellStyle name="40% - Accent5 13 2 4" xfId="24991" xr:uid="{00000000-0005-0000-0000-0000C42A0000}"/>
    <cellStyle name="40% - Accent5 13 2 5" xfId="26566" xr:uid="{00000000-0005-0000-0000-0000C52A0000}"/>
    <cellStyle name="40% - Accent5 13 3" xfId="6404" xr:uid="{00000000-0005-0000-0000-0000C62A0000}"/>
    <cellStyle name="40% - Accent5 13 3 2" xfId="13877" xr:uid="{00000000-0005-0000-0000-0000C72A0000}"/>
    <cellStyle name="40% - Accent5 13 3 3" xfId="13876" xr:uid="{00000000-0005-0000-0000-0000C82A0000}"/>
    <cellStyle name="40% - Accent5 13 3 4" xfId="26568" xr:uid="{00000000-0005-0000-0000-0000C92A0000}"/>
    <cellStyle name="40% - Accent5 13 4" xfId="13878" xr:uid="{00000000-0005-0000-0000-0000CA2A0000}"/>
    <cellStyle name="40% - Accent5 13 5" xfId="13873" xr:uid="{00000000-0005-0000-0000-0000CB2A0000}"/>
    <cellStyle name="40% - Accent5 13 6" xfId="24870" xr:uid="{00000000-0005-0000-0000-0000CC2A0000}"/>
    <cellStyle name="40% - Accent5 13 7" xfId="26565" xr:uid="{00000000-0005-0000-0000-0000CD2A0000}"/>
    <cellStyle name="40% - Accent5 14" xfId="941" xr:uid="{00000000-0005-0000-0000-0000CE2A0000}"/>
    <cellStyle name="40% - Accent5 14 2" xfId="13880" xr:uid="{00000000-0005-0000-0000-0000CF2A0000}"/>
    <cellStyle name="40% - Accent5 14 2 2" xfId="13881" xr:uid="{00000000-0005-0000-0000-0000D02A0000}"/>
    <cellStyle name="40% - Accent5 14 3" xfId="13882" xr:uid="{00000000-0005-0000-0000-0000D12A0000}"/>
    <cellStyle name="40% - Accent5 14 3 2" xfId="13883" xr:uid="{00000000-0005-0000-0000-0000D22A0000}"/>
    <cellStyle name="40% - Accent5 14 4" xfId="13884" xr:uid="{00000000-0005-0000-0000-0000D32A0000}"/>
    <cellStyle name="40% - Accent5 14 5" xfId="13879" xr:uid="{00000000-0005-0000-0000-0000D42A0000}"/>
    <cellStyle name="40% - Accent5 15" xfId="13885" xr:uid="{00000000-0005-0000-0000-0000D52A0000}"/>
    <cellStyle name="40% - Accent5 15 2" xfId="13886" xr:uid="{00000000-0005-0000-0000-0000D62A0000}"/>
    <cellStyle name="40% - Accent5 15 2 2" xfId="13887" xr:uid="{00000000-0005-0000-0000-0000D72A0000}"/>
    <cellStyle name="40% - Accent5 15 3" xfId="13888" xr:uid="{00000000-0005-0000-0000-0000D82A0000}"/>
    <cellStyle name="40% - Accent5 15 3 2" xfId="13889" xr:uid="{00000000-0005-0000-0000-0000D92A0000}"/>
    <cellStyle name="40% - Accent5 15 4" xfId="13890" xr:uid="{00000000-0005-0000-0000-0000DA2A0000}"/>
    <cellStyle name="40% - Accent5 16" xfId="13891" xr:uid="{00000000-0005-0000-0000-0000DB2A0000}"/>
    <cellStyle name="40% - Accent5 16 2" xfId="13892" xr:uid="{00000000-0005-0000-0000-0000DC2A0000}"/>
    <cellStyle name="40% - Accent5 16 2 2" xfId="13893" xr:uid="{00000000-0005-0000-0000-0000DD2A0000}"/>
    <cellStyle name="40% - Accent5 16 3" xfId="13894" xr:uid="{00000000-0005-0000-0000-0000DE2A0000}"/>
    <cellStyle name="40% - Accent5 16 3 2" xfId="13895" xr:uid="{00000000-0005-0000-0000-0000DF2A0000}"/>
    <cellStyle name="40% - Accent5 16 4" xfId="13896" xr:uid="{00000000-0005-0000-0000-0000E02A0000}"/>
    <cellStyle name="40% - Accent5 17" xfId="13897" xr:uid="{00000000-0005-0000-0000-0000E12A0000}"/>
    <cellStyle name="40% - Accent5 17 2" xfId="13898" xr:uid="{00000000-0005-0000-0000-0000E22A0000}"/>
    <cellStyle name="40% - Accent5 17 2 2" xfId="13899" xr:uid="{00000000-0005-0000-0000-0000E32A0000}"/>
    <cellStyle name="40% - Accent5 17 3" xfId="13900" xr:uid="{00000000-0005-0000-0000-0000E42A0000}"/>
    <cellStyle name="40% - Accent5 17 3 2" xfId="13901" xr:uid="{00000000-0005-0000-0000-0000E52A0000}"/>
    <cellStyle name="40% - Accent5 17 4" xfId="13902" xr:uid="{00000000-0005-0000-0000-0000E62A0000}"/>
    <cellStyle name="40% - Accent5 18" xfId="13903" xr:uid="{00000000-0005-0000-0000-0000E72A0000}"/>
    <cellStyle name="40% - Accent5 18 2" xfId="13904" xr:uid="{00000000-0005-0000-0000-0000E82A0000}"/>
    <cellStyle name="40% - Accent5 18 2 2" xfId="13905" xr:uid="{00000000-0005-0000-0000-0000E92A0000}"/>
    <cellStyle name="40% - Accent5 18 3" xfId="13906" xr:uid="{00000000-0005-0000-0000-0000EA2A0000}"/>
    <cellStyle name="40% - Accent5 18 3 2" xfId="13907" xr:uid="{00000000-0005-0000-0000-0000EB2A0000}"/>
    <cellStyle name="40% - Accent5 18 4" xfId="13908" xr:uid="{00000000-0005-0000-0000-0000EC2A0000}"/>
    <cellStyle name="40% - Accent5 19" xfId="13909" xr:uid="{00000000-0005-0000-0000-0000ED2A0000}"/>
    <cellStyle name="40% - Accent5 19 2" xfId="13910" xr:uid="{00000000-0005-0000-0000-0000EE2A0000}"/>
    <cellStyle name="40% - Accent5 19 2 2" xfId="13911" xr:uid="{00000000-0005-0000-0000-0000EF2A0000}"/>
    <cellStyle name="40% - Accent5 19 3" xfId="13912" xr:uid="{00000000-0005-0000-0000-0000F02A0000}"/>
    <cellStyle name="40% - Accent5 2" xfId="78" xr:uid="{00000000-0005-0000-0000-0000F12A0000}"/>
    <cellStyle name="40% - Accent5 2 10" xfId="1677" xr:uid="{00000000-0005-0000-0000-0000F22A0000}"/>
    <cellStyle name="40% - Accent5 2 10 2" xfId="4613" xr:uid="{00000000-0005-0000-0000-0000F32A0000}"/>
    <cellStyle name="40% - Accent5 2 10 2 2" xfId="13916" xr:uid="{00000000-0005-0000-0000-0000F42A0000}"/>
    <cellStyle name="40% - Accent5 2 10 2 3" xfId="13915" xr:uid="{00000000-0005-0000-0000-0000F52A0000}"/>
    <cellStyle name="40% - Accent5 2 10 3" xfId="13917" xr:uid="{00000000-0005-0000-0000-0000F62A0000}"/>
    <cellStyle name="40% - Accent5 2 10 3 2" xfId="13918" xr:uid="{00000000-0005-0000-0000-0000F72A0000}"/>
    <cellStyle name="40% - Accent5 2 10 4" xfId="13919" xr:uid="{00000000-0005-0000-0000-0000F82A0000}"/>
    <cellStyle name="40% - Accent5 2 10 4 2" xfId="13920" xr:uid="{00000000-0005-0000-0000-0000F92A0000}"/>
    <cellStyle name="40% - Accent5 2 10 5" xfId="13921" xr:uid="{00000000-0005-0000-0000-0000FA2A0000}"/>
    <cellStyle name="40% - Accent5 2 10 5 2" xfId="13922" xr:uid="{00000000-0005-0000-0000-0000FB2A0000}"/>
    <cellStyle name="40% - Accent5 2 10 6" xfId="13923" xr:uid="{00000000-0005-0000-0000-0000FC2A0000}"/>
    <cellStyle name="40% - Accent5 2 10 7" xfId="13914" xr:uid="{00000000-0005-0000-0000-0000FD2A0000}"/>
    <cellStyle name="40% - Accent5 2 11" xfId="2012" xr:uid="{00000000-0005-0000-0000-0000FE2A0000}"/>
    <cellStyle name="40% - Accent5 2 11 2" xfId="4614" xr:uid="{00000000-0005-0000-0000-0000FF2A0000}"/>
    <cellStyle name="40% - Accent5 2 11 2 2" xfId="13926" xr:uid="{00000000-0005-0000-0000-0000002B0000}"/>
    <cellStyle name="40% - Accent5 2 11 2 3" xfId="13925" xr:uid="{00000000-0005-0000-0000-0000012B0000}"/>
    <cellStyle name="40% - Accent5 2 11 3" xfId="13927" xr:uid="{00000000-0005-0000-0000-0000022B0000}"/>
    <cellStyle name="40% - Accent5 2 11 3 2" xfId="13928" xr:uid="{00000000-0005-0000-0000-0000032B0000}"/>
    <cellStyle name="40% - Accent5 2 11 4" xfId="13929" xr:uid="{00000000-0005-0000-0000-0000042B0000}"/>
    <cellStyle name="40% - Accent5 2 11 4 2" xfId="13930" xr:uid="{00000000-0005-0000-0000-0000052B0000}"/>
    <cellStyle name="40% - Accent5 2 11 5" xfId="13931" xr:uid="{00000000-0005-0000-0000-0000062B0000}"/>
    <cellStyle name="40% - Accent5 2 11 5 2" xfId="13932" xr:uid="{00000000-0005-0000-0000-0000072B0000}"/>
    <cellStyle name="40% - Accent5 2 11 6" xfId="13933" xr:uid="{00000000-0005-0000-0000-0000082B0000}"/>
    <cellStyle name="40% - Accent5 2 11 7" xfId="13924" xr:uid="{00000000-0005-0000-0000-0000092B0000}"/>
    <cellStyle name="40% - Accent5 2 12" xfId="2386" xr:uid="{00000000-0005-0000-0000-00000A2B0000}"/>
    <cellStyle name="40% - Accent5 2 12 2" xfId="4615" xr:uid="{00000000-0005-0000-0000-00000B2B0000}"/>
    <cellStyle name="40% - Accent5 2 12 2 2" xfId="13936" xr:uid="{00000000-0005-0000-0000-00000C2B0000}"/>
    <cellStyle name="40% - Accent5 2 12 2 3" xfId="13935" xr:uid="{00000000-0005-0000-0000-00000D2B0000}"/>
    <cellStyle name="40% - Accent5 2 12 3" xfId="13937" xr:uid="{00000000-0005-0000-0000-00000E2B0000}"/>
    <cellStyle name="40% - Accent5 2 12 3 2" xfId="13938" xr:uid="{00000000-0005-0000-0000-00000F2B0000}"/>
    <cellStyle name="40% - Accent5 2 12 4" xfId="13939" xr:uid="{00000000-0005-0000-0000-0000102B0000}"/>
    <cellStyle name="40% - Accent5 2 12 4 2" xfId="13940" xr:uid="{00000000-0005-0000-0000-0000112B0000}"/>
    <cellStyle name="40% - Accent5 2 12 5" xfId="13941" xr:uid="{00000000-0005-0000-0000-0000122B0000}"/>
    <cellStyle name="40% - Accent5 2 12 5 2" xfId="13942" xr:uid="{00000000-0005-0000-0000-0000132B0000}"/>
    <cellStyle name="40% - Accent5 2 12 6" xfId="13943" xr:uid="{00000000-0005-0000-0000-0000142B0000}"/>
    <cellStyle name="40% - Accent5 2 12 7" xfId="13934" xr:uid="{00000000-0005-0000-0000-0000152B0000}"/>
    <cellStyle name="40% - Accent5 2 13" xfId="2759" xr:uid="{00000000-0005-0000-0000-0000162B0000}"/>
    <cellStyle name="40% - Accent5 2 13 2" xfId="4616" xr:uid="{00000000-0005-0000-0000-0000172B0000}"/>
    <cellStyle name="40% - Accent5 2 13 2 2" xfId="13946" xr:uid="{00000000-0005-0000-0000-0000182B0000}"/>
    <cellStyle name="40% - Accent5 2 13 2 3" xfId="13945" xr:uid="{00000000-0005-0000-0000-0000192B0000}"/>
    <cellStyle name="40% - Accent5 2 13 3" xfId="13947" xr:uid="{00000000-0005-0000-0000-00001A2B0000}"/>
    <cellStyle name="40% - Accent5 2 13 3 2" xfId="13948" xr:uid="{00000000-0005-0000-0000-00001B2B0000}"/>
    <cellStyle name="40% - Accent5 2 13 4" xfId="13949" xr:uid="{00000000-0005-0000-0000-00001C2B0000}"/>
    <cellStyle name="40% - Accent5 2 13 4 2" xfId="13950" xr:uid="{00000000-0005-0000-0000-00001D2B0000}"/>
    <cellStyle name="40% - Accent5 2 13 5" xfId="13951" xr:uid="{00000000-0005-0000-0000-00001E2B0000}"/>
    <cellStyle name="40% - Accent5 2 13 5 2" xfId="13952" xr:uid="{00000000-0005-0000-0000-00001F2B0000}"/>
    <cellStyle name="40% - Accent5 2 13 6" xfId="13953" xr:uid="{00000000-0005-0000-0000-0000202B0000}"/>
    <cellStyle name="40% - Accent5 2 13 7" xfId="13944" xr:uid="{00000000-0005-0000-0000-0000212B0000}"/>
    <cellStyle name="40% - Accent5 2 14" xfId="3133" xr:uid="{00000000-0005-0000-0000-0000222B0000}"/>
    <cellStyle name="40% - Accent5 2 14 2" xfId="4617" xr:uid="{00000000-0005-0000-0000-0000232B0000}"/>
    <cellStyle name="40% - Accent5 2 14 2 2" xfId="13956" xr:uid="{00000000-0005-0000-0000-0000242B0000}"/>
    <cellStyle name="40% - Accent5 2 14 2 3" xfId="13955" xr:uid="{00000000-0005-0000-0000-0000252B0000}"/>
    <cellStyle name="40% - Accent5 2 14 3" xfId="13957" xr:uid="{00000000-0005-0000-0000-0000262B0000}"/>
    <cellStyle name="40% - Accent5 2 14 3 2" xfId="13958" xr:uid="{00000000-0005-0000-0000-0000272B0000}"/>
    <cellStyle name="40% - Accent5 2 14 4" xfId="13959" xr:uid="{00000000-0005-0000-0000-0000282B0000}"/>
    <cellStyle name="40% - Accent5 2 14 4 2" xfId="13960" xr:uid="{00000000-0005-0000-0000-0000292B0000}"/>
    <cellStyle name="40% - Accent5 2 14 5" xfId="13961" xr:uid="{00000000-0005-0000-0000-00002A2B0000}"/>
    <cellStyle name="40% - Accent5 2 14 5 2" xfId="13962" xr:uid="{00000000-0005-0000-0000-00002B2B0000}"/>
    <cellStyle name="40% - Accent5 2 14 6" xfId="13963" xr:uid="{00000000-0005-0000-0000-00002C2B0000}"/>
    <cellStyle name="40% - Accent5 2 14 7" xfId="13954" xr:uid="{00000000-0005-0000-0000-00002D2B0000}"/>
    <cellStyle name="40% - Accent5 2 15" xfId="3504" xr:uid="{00000000-0005-0000-0000-00002E2B0000}"/>
    <cellStyle name="40% - Accent5 2 15 2" xfId="4618" xr:uid="{00000000-0005-0000-0000-00002F2B0000}"/>
    <cellStyle name="40% - Accent5 2 15 2 2" xfId="13966" xr:uid="{00000000-0005-0000-0000-0000302B0000}"/>
    <cellStyle name="40% - Accent5 2 15 2 3" xfId="13965" xr:uid="{00000000-0005-0000-0000-0000312B0000}"/>
    <cellStyle name="40% - Accent5 2 15 3" xfId="13967" xr:uid="{00000000-0005-0000-0000-0000322B0000}"/>
    <cellStyle name="40% - Accent5 2 15 3 2" xfId="13968" xr:uid="{00000000-0005-0000-0000-0000332B0000}"/>
    <cellStyle name="40% - Accent5 2 15 4" xfId="13969" xr:uid="{00000000-0005-0000-0000-0000342B0000}"/>
    <cellStyle name="40% - Accent5 2 15 5" xfId="13964" xr:uid="{00000000-0005-0000-0000-0000352B0000}"/>
    <cellStyle name="40% - Accent5 2 16" xfId="3642" xr:uid="{00000000-0005-0000-0000-0000362B0000}"/>
    <cellStyle name="40% - Accent5 2 16 2" xfId="4619" xr:uid="{00000000-0005-0000-0000-0000372B0000}"/>
    <cellStyle name="40% - Accent5 2 16 2 2" xfId="13972" xr:uid="{00000000-0005-0000-0000-0000382B0000}"/>
    <cellStyle name="40% - Accent5 2 16 2 3" xfId="13971" xr:uid="{00000000-0005-0000-0000-0000392B0000}"/>
    <cellStyle name="40% - Accent5 2 16 3" xfId="13973" xr:uid="{00000000-0005-0000-0000-00003A2B0000}"/>
    <cellStyle name="40% - Accent5 2 16 3 2" xfId="13974" xr:uid="{00000000-0005-0000-0000-00003B2B0000}"/>
    <cellStyle name="40% - Accent5 2 16 4" xfId="13975" xr:uid="{00000000-0005-0000-0000-00003C2B0000}"/>
    <cellStyle name="40% - Accent5 2 16 5" xfId="13970" xr:uid="{00000000-0005-0000-0000-00003D2B0000}"/>
    <cellStyle name="40% - Accent5 2 17" xfId="13976" xr:uid="{00000000-0005-0000-0000-00003E2B0000}"/>
    <cellStyle name="40% - Accent5 2 18" xfId="13913" xr:uid="{00000000-0005-0000-0000-00003F2B0000}"/>
    <cellStyle name="40% - Accent5 2 19" xfId="20908" xr:uid="{00000000-0005-0000-0000-0000402B0000}"/>
    <cellStyle name="40% - Accent5 2 2" xfId="122" xr:uid="{00000000-0005-0000-0000-0000412B0000}"/>
    <cellStyle name="40% - Accent5 2 2 10" xfId="13978" xr:uid="{00000000-0005-0000-0000-0000422B0000}"/>
    <cellStyle name="40% - Accent5 2 2 10 2" xfId="13979" xr:uid="{00000000-0005-0000-0000-0000432B0000}"/>
    <cellStyle name="40% - Accent5 2 2 10 2 2" xfId="13980" xr:uid="{00000000-0005-0000-0000-0000442B0000}"/>
    <cellStyle name="40% - Accent5 2 2 10 3" xfId="13981" xr:uid="{00000000-0005-0000-0000-0000452B0000}"/>
    <cellStyle name="40% - Accent5 2 2 10 3 2" xfId="13982" xr:uid="{00000000-0005-0000-0000-0000462B0000}"/>
    <cellStyle name="40% - Accent5 2 2 10 4" xfId="13983" xr:uid="{00000000-0005-0000-0000-0000472B0000}"/>
    <cellStyle name="40% - Accent5 2 2 11" xfId="13984" xr:uid="{00000000-0005-0000-0000-0000482B0000}"/>
    <cellStyle name="40% - Accent5 2 2 11 2" xfId="13985" xr:uid="{00000000-0005-0000-0000-0000492B0000}"/>
    <cellStyle name="40% - Accent5 2 2 11 2 2" xfId="13986" xr:uid="{00000000-0005-0000-0000-00004A2B0000}"/>
    <cellStyle name="40% - Accent5 2 2 11 3" xfId="13987" xr:uid="{00000000-0005-0000-0000-00004B2B0000}"/>
    <cellStyle name="40% - Accent5 2 2 11 3 2" xfId="13988" xr:uid="{00000000-0005-0000-0000-00004C2B0000}"/>
    <cellStyle name="40% - Accent5 2 2 11 4" xfId="13989" xr:uid="{00000000-0005-0000-0000-00004D2B0000}"/>
    <cellStyle name="40% - Accent5 2 2 12" xfId="13990" xr:uid="{00000000-0005-0000-0000-00004E2B0000}"/>
    <cellStyle name="40% - Accent5 2 2 12 2" xfId="13991" xr:uid="{00000000-0005-0000-0000-00004F2B0000}"/>
    <cellStyle name="40% - Accent5 2 2 12 2 2" xfId="13992" xr:uid="{00000000-0005-0000-0000-0000502B0000}"/>
    <cellStyle name="40% - Accent5 2 2 12 3" xfId="13993" xr:uid="{00000000-0005-0000-0000-0000512B0000}"/>
    <cellStyle name="40% - Accent5 2 2 12 3 2" xfId="13994" xr:uid="{00000000-0005-0000-0000-0000522B0000}"/>
    <cellStyle name="40% - Accent5 2 2 12 4" xfId="13995" xr:uid="{00000000-0005-0000-0000-0000532B0000}"/>
    <cellStyle name="40% - Accent5 2 2 13" xfId="13996" xr:uid="{00000000-0005-0000-0000-0000542B0000}"/>
    <cellStyle name="40% - Accent5 2 2 13 2" xfId="13997" xr:uid="{00000000-0005-0000-0000-0000552B0000}"/>
    <cellStyle name="40% - Accent5 2 2 14" xfId="13998" xr:uid="{00000000-0005-0000-0000-0000562B0000}"/>
    <cellStyle name="40% - Accent5 2 2 14 2" xfId="13999" xr:uid="{00000000-0005-0000-0000-0000572B0000}"/>
    <cellStyle name="40% - Accent5 2 2 15" xfId="14000" xr:uid="{00000000-0005-0000-0000-0000582B0000}"/>
    <cellStyle name="40% - Accent5 2 2 15 2" xfId="14001" xr:uid="{00000000-0005-0000-0000-0000592B0000}"/>
    <cellStyle name="40% - Accent5 2 2 16" xfId="14002" xr:uid="{00000000-0005-0000-0000-00005A2B0000}"/>
    <cellStyle name="40% - Accent5 2 2 17" xfId="13977" xr:uid="{00000000-0005-0000-0000-00005B2B0000}"/>
    <cellStyle name="40% - Accent5 2 2 2" xfId="188" xr:uid="{00000000-0005-0000-0000-00005C2B0000}"/>
    <cellStyle name="40% - Accent5 2 2 2 2" xfId="14004" xr:uid="{00000000-0005-0000-0000-00005D2B0000}"/>
    <cellStyle name="40% - Accent5 2 2 2 2 2" xfId="14005" xr:uid="{00000000-0005-0000-0000-00005E2B0000}"/>
    <cellStyle name="40% - Accent5 2 2 2 3" xfId="14006" xr:uid="{00000000-0005-0000-0000-00005F2B0000}"/>
    <cellStyle name="40% - Accent5 2 2 2 3 2" xfId="14007" xr:uid="{00000000-0005-0000-0000-0000602B0000}"/>
    <cellStyle name="40% - Accent5 2 2 2 4" xfId="14008" xr:uid="{00000000-0005-0000-0000-0000612B0000}"/>
    <cellStyle name="40% - Accent5 2 2 2 5" xfId="14003" xr:uid="{00000000-0005-0000-0000-0000622B0000}"/>
    <cellStyle name="40% - Accent5 2 2 3" xfId="352" xr:uid="{00000000-0005-0000-0000-0000632B0000}"/>
    <cellStyle name="40% - Accent5 2 2 3 2" xfId="14010" xr:uid="{00000000-0005-0000-0000-0000642B0000}"/>
    <cellStyle name="40% - Accent5 2 2 3 2 2" xfId="14011" xr:uid="{00000000-0005-0000-0000-0000652B0000}"/>
    <cellStyle name="40% - Accent5 2 2 3 3" xfId="14012" xr:uid="{00000000-0005-0000-0000-0000662B0000}"/>
    <cellStyle name="40% - Accent5 2 2 3 3 2" xfId="14013" xr:uid="{00000000-0005-0000-0000-0000672B0000}"/>
    <cellStyle name="40% - Accent5 2 2 3 4" xfId="14014" xr:uid="{00000000-0005-0000-0000-0000682B0000}"/>
    <cellStyle name="40% - Accent5 2 2 3 5" xfId="14009" xr:uid="{00000000-0005-0000-0000-0000692B0000}"/>
    <cellStyle name="40% - Accent5 2 2 4" xfId="2174" xr:uid="{00000000-0005-0000-0000-00006A2B0000}"/>
    <cellStyle name="40% - Accent5 2 2 4 2" xfId="14016" xr:uid="{00000000-0005-0000-0000-00006B2B0000}"/>
    <cellStyle name="40% - Accent5 2 2 4 2 2" xfId="14017" xr:uid="{00000000-0005-0000-0000-00006C2B0000}"/>
    <cellStyle name="40% - Accent5 2 2 4 3" xfId="14018" xr:uid="{00000000-0005-0000-0000-00006D2B0000}"/>
    <cellStyle name="40% - Accent5 2 2 4 3 2" xfId="14019" xr:uid="{00000000-0005-0000-0000-00006E2B0000}"/>
    <cellStyle name="40% - Accent5 2 2 4 4" xfId="14020" xr:uid="{00000000-0005-0000-0000-00006F2B0000}"/>
    <cellStyle name="40% - Accent5 2 2 4 5" xfId="14015" xr:uid="{00000000-0005-0000-0000-0000702B0000}"/>
    <cellStyle name="40% - Accent5 2 2 5" xfId="2548" xr:uid="{00000000-0005-0000-0000-0000712B0000}"/>
    <cellStyle name="40% - Accent5 2 2 5 2" xfId="14022" xr:uid="{00000000-0005-0000-0000-0000722B0000}"/>
    <cellStyle name="40% - Accent5 2 2 5 2 2" xfId="14023" xr:uid="{00000000-0005-0000-0000-0000732B0000}"/>
    <cellStyle name="40% - Accent5 2 2 5 3" xfId="14024" xr:uid="{00000000-0005-0000-0000-0000742B0000}"/>
    <cellStyle name="40% - Accent5 2 2 5 3 2" xfId="14025" xr:uid="{00000000-0005-0000-0000-0000752B0000}"/>
    <cellStyle name="40% - Accent5 2 2 5 4" xfId="14026" xr:uid="{00000000-0005-0000-0000-0000762B0000}"/>
    <cellStyle name="40% - Accent5 2 2 5 5" xfId="14021" xr:uid="{00000000-0005-0000-0000-0000772B0000}"/>
    <cellStyle name="40% - Accent5 2 2 6" xfId="2920" xr:uid="{00000000-0005-0000-0000-0000782B0000}"/>
    <cellStyle name="40% - Accent5 2 2 6 2" xfId="14028" xr:uid="{00000000-0005-0000-0000-0000792B0000}"/>
    <cellStyle name="40% - Accent5 2 2 6 2 2" xfId="14029" xr:uid="{00000000-0005-0000-0000-00007A2B0000}"/>
    <cellStyle name="40% - Accent5 2 2 6 3" xfId="14030" xr:uid="{00000000-0005-0000-0000-00007B2B0000}"/>
    <cellStyle name="40% - Accent5 2 2 6 3 2" xfId="14031" xr:uid="{00000000-0005-0000-0000-00007C2B0000}"/>
    <cellStyle name="40% - Accent5 2 2 6 4" xfId="14032" xr:uid="{00000000-0005-0000-0000-00007D2B0000}"/>
    <cellStyle name="40% - Accent5 2 2 6 5" xfId="14027" xr:uid="{00000000-0005-0000-0000-00007E2B0000}"/>
    <cellStyle name="40% - Accent5 2 2 7" xfId="3292" xr:uid="{00000000-0005-0000-0000-00007F2B0000}"/>
    <cellStyle name="40% - Accent5 2 2 7 2" xfId="14034" xr:uid="{00000000-0005-0000-0000-0000802B0000}"/>
    <cellStyle name="40% - Accent5 2 2 7 2 2" xfId="14035" xr:uid="{00000000-0005-0000-0000-0000812B0000}"/>
    <cellStyle name="40% - Accent5 2 2 7 3" xfId="14036" xr:uid="{00000000-0005-0000-0000-0000822B0000}"/>
    <cellStyle name="40% - Accent5 2 2 7 3 2" xfId="14037" xr:uid="{00000000-0005-0000-0000-0000832B0000}"/>
    <cellStyle name="40% - Accent5 2 2 7 4" xfId="14038" xr:uid="{00000000-0005-0000-0000-0000842B0000}"/>
    <cellStyle name="40% - Accent5 2 2 7 5" xfId="14033" xr:uid="{00000000-0005-0000-0000-0000852B0000}"/>
    <cellStyle name="40% - Accent5 2 2 8" xfId="4620" xr:uid="{00000000-0005-0000-0000-0000862B0000}"/>
    <cellStyle name="40% - Accent5 2 2 8 2" xfId="14040" xr:uid="{00000000-0005-0000-0000-0000872B0000}"/>
    <cellStyle name="40% - Accent5 2 2 8 2 2" xfId="14041" xr:uid="{00000000-0005-0000-0000-0000882B0000}"/>
    <cellStyle name="40% - Accent5 2 2 8 3" xfId="14042" xr:uid="{00000000-0005-0000-0000-0000892B0000}"/>
    <cellStyle name="40% - Accent5 2 2 8 3 2" xfId="14043" xr:uid="{00000000-0005-0000-0000-00008A2B0000}"/>
    <cellStyle name="40% - Accent5 2 2 8 4" xfId="14044" xr:uid="{00000000-0005-0000-0000-00008B2B0000}"/>
    <cellStyle name="40% - Accent5 2 2 8 5" xfId="14039" xr:uid="{00000000-0005-0000-0000-00008C2B0000}"/>
    <cellStyle name="40% - Accent5 2 2 9" xfId="14045" xr:uid="{00000000-0005-0000-0000-00008D2B0000}"/>
    <cellStyle name="40% - Accent5 2 2 9 2" xfId="14046" xr:uid="{00000000-0005-0000-0000-00008E2B0000}"/>
    <cellStyle name="40% - Accent5 2 2 9 2 2" xfId="14047" xr:uid="{00000000-0005-0000-0000-00008F2B0000}"/>
    <cellStyle name="40% - Accent5 2 2 9 3" xfId="14048" xr:uid="{00000000-0005-0000-0000-0000902B0000}"/>
    <cellStyle name="40% - Accent5 2 2 9 3 2" xfId="14049" xr:uid="{00000000-0005-0000-0000-0000912B0000}"/>
    <cellStyle name="40% - Accent5 2 2 9 4" xfId="14050" xr:uid="{00000000-0005-0000-0000-0000922B0000}"/>
    <cellStyle name="40% - Accent5 2 3" xfId="287" xr:uid="{00000000-0005-0000-0000-0000932B0000}"/>
    <cellStyle name="40% - Accent5 2 3 2" xfId="1350" xr:uid="{00000000-0005-0000-0000-0000942B0000}"/>
    <cellStyle name="40% - Accent5 2 3 2 2" xfId="14053" xr:uid="{00000000-0005-0000-0000-0000952B0000}"/>
    <cellStyle name="40% - Accent5 2 3 2 2 2" xfId="14054" xr:uid="{00000000-0005-0000-0000-0000962B0000}"/>
    <cellStyle name="40% - Accent5 2 3 2 3" xfId="14055" xr:uid="{00000000-0005-0000-0000-0000972B0000}"/>
    <cellStyle name="40% - Accent5 2 3 2 3 2" xfId="14056" xr:uid="{00000000-0005-0000-0000-0000982B0000}"/>
    <cellStyle name="40% - Accent5 2 3 2 4" xfId="14057" xr:uid="{00000000-0005-0000-0000-0000992B0000}"/>
    <cellStyle name="40% - Accent5 2 3 2 5" xfId="14052" xr:uid="{00000000-0005-0000-0000-00009A2B0000}"/>
    <cellStyle name="40% - Accent5 2 3 3" xfId="14058" xr:uid="{00000000-0005-0000-0000-00009B2B0000}"/>
    <cellStyle name="40% - Accent5 2 3 3 2" xfId="14059" xr:uid="{00000000-0005-0000-0000-00009C2B0000}"/>
    <cellStyle name="40% - Accent5 2 3 4" xfId="14060" xr:uid="{00000000-0005-0000-0000-00009D2B0000}"/>
    <cellStyle name="40% - Accent5 2 3 4 2" xfId="14061" xr:uid="{00000000-0005-0000-0000-00009E2B0000}"/>
    <cellStyle name="40% - Accent5 2 3 5" xfId="14062" xr:uid="{00000000-0005-0000-0000-00009F2B0000}"/>
    <cellStyle name="40% - Accent5 2 3 6" xfId="14051" xr:uid="{00000000-0005-0000-0000-0000A02B0000}"/>
    <cellStyle name="40% - Accent5 2 4" xfId="398" xr:uid="{00000000-0005-0000-0000-0000A12B0000}"/>
    <cellStyle name="40% - Accent5 2 4 2" xfId="14064" xr:uid="{00000000-0005-0000-0000-0000A22B0000}"/>
    <cellStyle name="40% - Accent5 2 4 2 2" xfId="14065" xr:uid="{00000000-0005-0000-0000-0000A32B0000}"/>
    <cellStyle name="40% - Accent5 2 4 2 2 2" xfId="14066" xr:uid="{00000000-0005-0000-0000-0000A42B0000}"/>
    <cellStyle name="40% - Accent5 2 4 2 3" xfId="14067" xr:uid="{00000000-0005-0000-0000-0000A52B0000}"/>
    <cellStyle name="40% - Accent5 2 4 2 3 2" xfId="14068" xr:uid="{00000000-0005-0000-0000-0000A62B0000}"/>
    <cellStyle name="40% - Accent5 2 4 2 4" xfId="14069" xr:uid="{00000000-0005-0000-0000-0000A72B0000}"/>
    <cellStyle name="40% - Accent5 2 4 3" xfId="14070" xr:uid="{00000000-0005-0000-0000-0000A82B0000}"/>
    <cellStyle name="40% - Accent5 2 4 3 2" xfId="14071" xr:uid="{00000000-0005-0000-0000-0000A92B0000}"/>
    <cellStyle name="40% - Accent5 2 4 4" xfId="14072" xr:uid="{00000000-0005-0000-0000-0000AA2B0000}"/>
    <cellStyle name="40% - Accent5 2 4 4 2" xfId="14073" xr:uid="{00000000-0005-0000-0000-0000AB2B0000}"/>
    <cellStyle name="40% - Accent5 2 4 5" xfId="14074" xr:uid="{00000000-0005-0000-0000-0000AC2B0000}"/>
    <cellStyle name="40% - Accent5 2 4 6" xfId="14063" xr:uid="{00000000-0005-0000-0000-0000AD2B0000}"/>
    <cellStyle name="40% - Accent5 2 5" xfId="549" xr:uid="{00000000-0005-0000-0000-0000AE2B0000}"/>
    <cellStyle name="40% - Accent5 2 5 2" xfId="14076" xr:uid="{00000000-0005-0000-0000-0000AF2B0000}"/>
    <cellStyle name="40% - Accent5 2 5 2 2" xfId="14077" xr:uid="{00000000-0005-0000-0000-0000B02B0000}"/>
    <cellStyle name="40% - Accent5 2 5 3" xfId="14078" xr:uid="{00000000-0005-0000-0000-0000B12B0000}"/>
    <cellStyle name="40% - Accent5 2 5 3 2" xfId="14079" xr:uid="{00000000-0005-0000-0000-0000B22B0000}"/>
    <cellStyle name="40% - Accent5 2 5 4" xfId="14080" xr:uid="{00000000-0005-0000-0000-0000B32B0000}"/>
    <cellStyle name="40% - Accent5 2 5 5" xfId="14075" xr:uid="{00000000-0005-0000-0000-0000B42B0000}"/>
    <cellStyle name="40% - Accent5 2 6" xfId="682" xr:uid="{00000000-0005-0000-0000-0000B52B0000}"/>
    <cellStyle name="40% - Accent5 2 6 2" xfId="14082" xr:uid="{00000000-0005-0000-0000-0000B62B0000}"/>
    <cellStyle name="40% - Accent5 2 6 2 2" xfId="14083" xr:uid="{00000000-0005-0000-0000-0000B72B0000}"/>
    <cellStyle name="40% - Accent5 2 6 3" xfId="14084" xr:uid="{00000000-0005-0000-0000-0000B82B0000}"/>
    <cellStyle name="40% - Accent5 2 6 3 2" xfId="14085" xr:uid="{00000000-0005-0000-0000-0000B92B0000}"/>
    <cellStyle name="40% - Accent5 2 6 4" xfId="14086" xr:uid="{00000000-0005-0000-0000-0000BA2B0000}"/>
    <cellStyle name="40% - Accent5 2 6 5" xfId="14081" xr:uid="{00000000-0005-0000-0000-0000BB2B0000}"/>
    <cellStyle name="40% - Accent5 2 7" xfId="683" xr:uid="{00000000-0005-0000-0000-0000BC2B0000}"/>
    <cellStyle name="40% - Accent5 2 7 2" xfId="14088" xr:uid="{00000000-0005-0000-0000-0000BD2B0000}"/>
    <cellStyle name="40% - Accent5 2 7 2 2" xfId="14089" xr:uid="{00000000-0005-0000-0000-0000BE2B0000}"/>
    <cellStyle name="40% - Accent5 2 7 3" xfId="14090" xr:uid="{00000000-0005-0000-0000-0000BF2B0000}"/>
    <cellStyle name="40% - Accent5 2 7 3 2" xfId="14091" xr:uid="{00000000-0005-0000-0000-0000C02B0000}"/>
    <cellStyle name="40% - Accent5 2 7 4" xfId="14092" xr:uid="{00000000-0005-0000-0000-0000C12B0000}"/>
    <cellStyle name="40% - Accent5 2 7 5" xfId="14087" xr:uid="{00000000-0005-0000-0000-0000C22B0000}"/>
    <cellStyle name="40% - Accent5 2 8" xfId="830" xr:uid="{00000000-0005-0000-0000-0000C32B0000}"/>
    <cellStyle name="40% - Accent5 2 8 2" xfId="1406" xr:uid="{00000000-0005-0000-0000-0000C42B0000}"/>
    <cellStyle name="40% - Accent5 2 8 2 2" xfId="14095" xr:uid="{00000000-0005-0000-0000-0000C52B0000}"/>
    <cellStyle name="40% - Accent5 2 8 2 3" xfId="14094" xr:uid="{00000000-0005-0000-0000-0000C62B0000}"/>
    <cellStyle name="40% - Accent5 2 8 3" xfId="14096" xr:uid="{00000000-0005-0000-0000-0000C72B0000}"/>
    <cellStyle name="40% - Accent5 2 8 3 2" xfId="14097" xr:uid="{00000000-0005-0000-0000-0000C82B0000}"/>
    <cellStyle name="40% - Accent5 2 8 4" xfId="14098" xr:uid="{00000000-0005-0000-0000-0000C92B0000}"/>
    <cellStyle name="40% - Accent5 2 8 4 2" xfId="14099" xr:uid="{00000000-0005-0000-0000-0000CA2B0000}"/>
    <cellStyle name="40% - Accent5 2 8 5" xfId="14100" xr:uid="{00000000-0005-0000-0000-0000CB2B0000}"/>
    <cellStyle name="40% - Accent5 2 8 5 2" xfId="14101" xr:uid="{00000000-0005-0000-0000-0000CC2B0000}"/>
    <cellStyle name="40% - Accent5 2 8 6" xfId="14102" xr:uid="{00000000-0005-0000-0000-0000CD2B0000}"/>
    <cellStyle name="40% - Accent5 2 8 7" xfId="14093" xr:uid="{00000000-0005-0000-0000-0000CE2B0000}"/>
    <cellStyle name="40% - Accent5 2 9" xfId="942" xr:uid="{00000000-0005-0000-0000-0000CF2B0000}"/>
    <cellStyle name="40% - Accent5 2 9 2" xfId="1441" xr:uid="{00000000-0005-0000-0000-0000D02B0000}"/>
    <cellStyle name="40% - Accent5 2 9 2 2" xfId="14105" xr:uid="{00000000-0005-0000-0000-0000D12B0000}"/>
    <cellStyle name="40% - Accent5 2 9 2 3" xfId="14104" xr:uid="{00000000-0005-0000-0000-0000D22B0000}"/>
    <cellStyle name="40% - Accent5 2 9 3" xfId="14106" xr:uid="{00000000-0005-0000-0000-0000D32B0000}"/>
    <cellStyle name="40% - Accent5 2 9 3 2" xfId="14107" xr:uid="{00000000-0005-0000-0000-0000D42B0000}"/>
    <cellStyle name="40% - Accent5 2 9 4" xfId="14108" xr:uid="{00000000-0005-0000-0000-0000D52B0000}"/>
    <cellStyle name="40% - Accent5 2 9 4 2" xfId="14109" xr:uid="{00000000-0005-0000-0000-0000D62B0000}"/>
    <cellStyle name="40% - Accent5 2 9 5" xfId="14110" xr:uid="{00000000-0005-0000-0000-0000D72B0000}"/>
    <cellStyle name="40% - Accent5 2 9 5 2" xfId="14111" xr:uid="{00000000-0005-0000-0000-0000D82B0000}"/>
    <cellStyle name="40% - Accent5 2 9 6" xfId="14112" xr:uid="{00000000-0005-0000-0000-0000D92B0000}"/>
    <cellStyle name="40% - Accent5 2 9 7" xfId="14103" xr:uid="{00000000-0005-0000-0000-0000DA2B0000}"/>
    <cellStyle name="40% - Accent5 20" xfId="14113" xr:uid="{00000000-0005-0000-0000-0000DB2B0000}"/>
    <cellStyle name="40% - Accent5 20 2" xfId="14114" xr:uid="{00000000-0005-0000-0000-0000DC2B0000}"/>
    <cellStyle name="40% - Accent5 21" xfId="14115" xr:uid="{00000000-0005-0000-0000-0000DD2B0000}"/>
    <cellStyle name="40% - Accent5 21 2" xfId="14116" xr:uid="{00000000-0005-0000-0000-0000DE2B0000}"/>
    <cellStyle name="40% - Accent5 21 2 2" xfId="14117" xr:uid="{00000000-0005-0000-0000-0000DF2B0000}"/>
    <cellStyle name="40% - Accent5 21 2 2 2" xfId="14118" xr:uid="{00000000-0005-0000-0000-0000E02B0000}"/>
    <cellStyle name="40% - Accent5 21 2 3" xfId="14119" xr:uid="{00000000-0005-0000-0000-0000E12B0000}"/>
    <cellStyle name="40% - Accent5 21 2 3 2" xfId="14120" xr:uid="{00000000-0005-0000-0000-0000E22B0000}"/>
    <cellStyle name="40% - Accent5 21 2 4" xfId="14121" xr:uid="{00000000-0005-0000-0000-0000E32B0000}"/>
    <cellStyle name="40% - Accent5 21 3" xfId="14122" xr:uid="{00000000-0005-0000-0000-0000E42B0000}"/>
    <cellStyle name="40% - Accent5 21 3 2" xfId="14123" xr:uid="{00000000-0005-0000-0000-0000E52B0000}"/>
    <cellStyle name="40% - Accent5 21 4" xfId="14124" xr:uid="{00000000-0005-0000-0000-0000E62B0000}"/>
    <cellStyle name="40% - Accent5 21 4 2" xfId="14125" xr:uid="{00000000-0005-0000-0000-0000E72B0000}"/>
    <cellStyle name="40% - Accent5 21 5" xfId="14126" xr:uid="{00000000-0005-0000-0000-0000E82B0000}"/>
    <cellStyle name="40% - Accent5 22" xfId="14127" xr:uid="{00000000-0005-0000-0000-0000E92B0000}"/>
    <cellStyle name="40% - Accent5 22 2" xfId="14128" xr:uid="{00000000-0005-0000-0000-0000EA2B0000}"/>
    <cellStyle name="40% - Accent5 22 2 2" xfId="14129" xr:uid="{00000000-0005-0000-0000-0000EB2B0000}"/>
    <cellStyle name="40% - Accent5 22 2 2 2" xfId="14130" xr:uid="{00000000-0005-0000-0000-0000EC2B0000}"/>
    <cellStyle name="40% - Accent5 22 2 3" xfId="14131" xr:uid="{00000000-0005-0000-0000-0000ED2B0000}"/>
    <cellStyle name="40% - Accent5 22 2 3 2" xfId="14132" xr:uid="{00000000-0005-0000-0000-0000EE2B0000}"/>
    <cellStyle name="40% - Accent5 22 2 4" xfId="14133" xr:uid="{00000000-0005-0000-0000-0000EF2B0000}"/>
    <cellStyle name="40% - Accent5 22 3" xfId="14134" xr:uid="{00000000-0005-0000-0000-0000F02B0000}"/>
    <cellStyle name="40% - Accent5 22 3 2" xfId="14135" xr:uid="{00000000-0005-0000-0000-0000F12B0000}"/>
    <cellStyle name="40% - Accent5 22 4" xfId="14136" xr:uid="{00000000-0005-0000-0000-0000F22B0000}"/>
    <cellStyle name="40% - Accent5 22 4 2" xfId="14137" xr:uid="{00000000-0005-0000-0000-0000F32B0000}"/>
    <cellStyle name="40% - Accent5 22 5" xfId="14138" xr:uid="{00000000-0005-0000-0000-0000F42B0000}"/>
    <cellStyle name="40% - Accent5 23" xfId="14139" xr:uid="{00000000-0005-0000-0000-0000F52B0000}"/>
    <cellStyle name="40% - Accent5 23 2" xfId="14140" xr:uid="{00000000-0005-0000-0000-0000F62B0000}"/>
    <cellStyle name="40% - Accent5 24" xfId="14141" xr:uid="{00000000-0005-0000-0000-0000F72B0000}"/>
    <cellStyle name="40% - Accent5 24 2" xfId="14142" xr:uid="{00000000-0005-0000-0000-0000F82B0000}"/>
    <cellStyle name="40% - Accent5 24 2 2" xfId="14143" xr:uid="{00000000-0005-0000-0000-0000F92B0000}"/>
    <cellStyle name="40% - Accent5 24 2 2 2" xfId="14144" xr:uid="{00000000-0005-0000-0000-0000FA2B0000}"/>
    <cellStyle name="40% - Accent5 24 2 3" xfId="14145" xr:uid="{00000000-0005-0000-0000-0000FB2B0000}"/>
    <cellStyle name="40% - Accent5 24 2 3 2" xfId="14146" xr:uid="{00000000-0005-0000-0000-0000FC2B0000}"/>
    <cellStyle name="40% - Accent5 24 2 4" xfId="14147" xr:uid="{00000000-0005-0000-0000-0000FD2B0000}"/>
    <cellStyle name="40% - Accent5 24 3" xfId="14148" xr:uid="{00000000-0005-0000-0000-0000FE2B0000}"/>
    <cellStyle name="40% - Accent5 24 3 2" xfId="14149" xr:uid="{00000000-0005-0000-0000-0000FF2B0000}"/>
    <cellStyle name="40% - Accent5 24 4" xfId="14150" xr:uid="{00000000-0005-0000-0000-0000002C0000}"/>
    <cellStyle name="40% - Accent5 24 4 2" xfId="14151" xr:uid="{00000000-0005-0000-0000-0000012C0000}"/>
    <cellStyle name="40% - Accent5 24 5" xfId="14152" xr:uid="{00000000-0005-0000-0000-0000022C0000}"/>
    <cellStyle name="40% - Accent5 25" xfId="14153" xr:uid="{00000000-0005-0000-0000-0000032C0000}"/>
    <cellStyle name="40% - Accent5 25 2" xfId="14154" xr:uid="{00000000-0005-0000-0000-0000042C0000}"/>
    <cellStyle name="40% - Accent5 25 2 2" xfId="14155" xr:uid="{00000000-0005-0000-0000-0000052C0000}"/>
    <cellStyle name="40% - Accent5 25 2 2 2" xfId="14156" xr:uid="{00000000-0005-0000-0000-0000062C0000}"/>
    <cellStyle name="40% - Accent5 25 2 3" xfId="14157" xr:uid="{00000000-0005-0000-0000-0000072C0000}"/>
    <cellStyle name="40% - Accent5 25 2 3 2" xfId="14158" xr:uid="{00000000-0005-0000-0000-0000082C0000}"/>
    <cellStyle name="40% - Accent5 25 2 4" xfId="14159" xr:uid="{00000000-0005-0000-0000-0000092C0000}"/>
    <cellStyle name="40% - Accent5 25 3" xfId="14160" xr:uid="{00000000-0005-0000-0000-00000A2C0000}"/>
    <cellStyle name="40% - Accent5 25 3 2" xfId="14161" xr:uid="{00000000-0005-0000-0000-00000B2C0000}"/>
    <cellStyle name="40% - Accent5 25 4" xfId="14162" xr:uid="{00000000-0005-0000-0000-00000C2C0000}"/>
    <cellStyle name="40% - Accent5 25 4 2" xfId="14163" xr:uid="{00000000-0005-0000-0000-00000D2C0000}"/>
    <cellStyle name="40% - Accent5 25 5" xfId="14164" xr:uid="{00000000-0005-0000-0000-00000E2C0000}"/>
    <cellStyle name="40% - Accent5 26" xfId="14165" xr:uid="{00000000-0005-0000-0000-00000F2C0000}"/>
    <cellStyle name="40% - Accent5 26 2" xfId="14166" xr:uid="{00000000-0005-0000-0000-0000102C0000}"/>
    <cellStyle name="40% - Accent5 27" xfId="14167" xr:uid="{00000000-0005-0000-0000-0000112C0000}"/>
    <cellStyle name="40% - Accent5 27 2" xfId="14168" xr:uid="{00000000-0005-0000-0000-0000122C0000}"/>
    <cellStyle name="40% - Accent5 27 2 2" xfId="14169" xr:uid="{00000000-0005-0000-0000-0000132C0000}"/>
    <cellStyle name="40% - Accent5 27 2 2 2" xfId="14170" xr:uid="{00000000-0005-0000-0000-0000142C0000}"/>
    <cellStyle name="40% - Accent5 27 2 3" xfId="14171" xr:uid="{00000000-0005-0000-0000-0000152C0000}"/>
    <cellStyle name="40% - Accent5 27 2 3 2" xfId="14172" xr:uid="{00000000-0005-0000-0000-0000162C0000}"/>
    <cellStyle name="40% - Accent5 27 2 4" xfId="14173" xr:uid="{00000000-0005-0000-0000-0000172C0000}"/>
    <cellStyle name="40% - Accent5 27 3" xfId="14174" xr:uid="{00000000-0005-0000-0000-0000182C0000}"/>
    <cellStyle name="40% - Accent5 27 3 2" xfId="14175" xr:uid="{00000000-0005-0000-0000-0000192C0000}"/>
    <cellStyle name="40% - Accent5 27 4" xfId="14176" xr:uid="{00000000-0005-0000-0000-00001A2C0000}"/>
    <cellStyle name="40% - Accent5 27 4 2" xfId="14177" xr:uid="{00000000-0005-0000-0000-00001B2C0000}"/>
    <cellStyle name="40% - Accent5 27 5" xfId="14178" xr:uid="{00000000-0005-0000-0000-00001C2C0000}"/>
    <cellStyle name="40% - Accent5 28" xfId="14179" xr:uid="{00000000-0005-0000-0000-00001D2C0000}"/>
    <cellStyle name="40% - Accent5 28 2" xfId="14180" xr:uid="{00000000-0005-0000-0000-00001E2C0000}"/>
    <cellStyle name="40% - Accent5 28 2 2" xfId="14181" xr:uid="{00000000-0005-0000-0000-00001F2C0000}"/>
    <cellStyle name="40% - Accent5 28 3" xfId="14182" xr:uid="{00000000-0005-0000-0000-0000202C0000}"/>
    <cellStyle name="40% - Accent5 28 3 2" xfId="14183" xr:uid="{00000000-0005-0000-0000-0000212C0000}"/>
    <cellStyle name="40% - Accent5 28 4" xfId="14184" xr:uid="{00000000-0005-0000-0000-0000222C0000}"/>
    <cellStyle name="40% - Accent5 29" xfId="14185" xr:uid="{00000000-0005-0000-0000-0000232C0000}"/>
    <cellStyle name="40% - Accent5 29 2" xfId="14186" xr:uid="{00000000-0005-0000-0000-0000242C0000}"/>
    <cellStyle name="40% - Accent5 3" xfId="229" xr:uid="{00000000-0005-0000-0000-0000252C0000}"/>
    <cellStyle name="40% - Accent5 3 10" xfId="3685" xr:uid="{00000000-0005-0000-0000-0000262C0000}"/>
    <cellStyle name="40% - Accent5 3 10 2" xfId="4621" xr:uid="{00000000-0005-0000-0000-0000272C0000}"/>
    <cellStyle name="40% - Accent5 3 10 2 2" xfId="14190" xr:uid="{00000000-0005-0000-0000-0000282C0000}"/>
    <cellStyle name="40% - Accent5 3 10 2 3" xfId="14189" xr:uid="{00000000-0005-0000-0000-0000292C0000}"/>
    <cellStyle name="40% - Accent5 3 10 3" xfId="14191" xr:uid="{00000000-0005-0000-0000-00002A2C0000}"/>
    <cellStyle name="40% - Accent5 3 10 3 2" xfId="14192" xr:uid="{00000000-0005-0000-0000-00002B2C0000}"/>
    <cellStyle name="40% - Accent5 3 10 4" xfId="14193" xr:uid="{00000000-0005-0000-0000-00002C2C0000}"/>
    <cellStyle name="40% - Accent5 3 10 4 2" xfId="14194" xr:uid="{00000000-0005-0000-0000-00002D2C0000}"/>
    <cellStyle name="40% - Accent5 3 10 5" xfId="14195" xr:uid="{00000000-0005-0000-0000-00002E2C0000}"/>
    <cellStyle name="40% - Accent5 3 10 5 2" xfId="14196" xr:uid="{00000000-0005-0000-0000-00002F2C0000}"/>
    <cellStyle name="40% - Accent5 3 10 6" xfId="14197" xr:uid="{00000000-0005-0000-0000-0000302C0000}"/>
    <cellStyle name="40% - Accent5 3 10 7" xfId="14188" xr:uid="{00000000-0005-0000-0000-0000312C0000}"/>
    <cellStyle name="40% - Accent5 3 11" xfId="14198" xr:uid="{00000000-0005-0000-0000-0000322C0000}"/>
    <cellStyle name="40% - Accent5 3 11 2" xfId="14199" xr:uid="{00000000-0005-0000-0000-0000332C0000}"/>
    <cellStyle name="40% - Accent5 3 11 2 2" xfId="14200" xr:uid="{00000000-0005-0000-0000-0000342C0000}"/>
    <cellStyle name="40% - Accent5 3 11 3" xfId="14201" xr:uid="{00000000-0005-0000-0000-0000352C0000}"/>
    <cellStyle name="40% - Accent5 3 11 3 2" xfId="14202" xr:uid="{00000000-0005-0000-0000-0000362C0000}"/>
    <cellStyle name="40% - Accent5 3 11 4" xfId="14203" xr:uid="{00000000-0005-0000-0000-0000372C0000}"/>
    <cellStyle name="40% - Accent5 3 12" xfId="14204" xr:uid="{00000000-0005-0000-0000-0000382C0000}"/>
    <cellStyle name="40% - Accent5 3 12 2" xfId="14205" xr:uid="{00000000-0005-0000-0000-0000392C0000}"/>
    <cellStyle name="40% - Accent5 3 12 2 2" xfId="14206" xr:uid="{00000000-0005-0000-0000-00003A2C0000}"/>
    <cellStyle name="40% - Accent5 3 12 3" xfId="14207" xr:uid="{00000000-0005-0000-0000-00003B2C0000}"/>
    <cellStyle name="40% - Accent5 3 12 3 2" xfId="14208" xr:uid="{00000000-0005-0000-0000-00003C2C0000}"/>
    <cellStyle name="40% - Accent5 3 12 4" xfId="14209" xr:uid="{00000000-0005-0000-0000-00003D2C0000}"/>
    <cellStyle name="40% - Accent5 3 13" xfId="14210" xr:uid="{00000000-0005-0000-0000-00003E2C0000}"/>
    <cellStyle name="40% - Accent5 3 13 2" xfId="14211" xr:uid="{00000000-0005-0000-0000-00003F2C0000}"/>
    <cellStyle name="40% - Accent5 3 13 2 2" xfId="14212" xr:uid="{00000000-0005-0000-0000-0000402C0000}"/>
    <cellStyle name="40% - Accent5 3 13 3" xfId="14213" xr:uid="{00000000-0005-0000-0000-0000412C0000}"/>
    <cellStyle name="40% - Accent5 3 13 3 2" xfId="14214" xr:uid="{00000000-0005-0000-0000-0000422C0000}"/>
    <cellStyle name="40% - Accent5 3 13 4" xfId="14215" xr:uid="{00000000-0005-0000-0000-0000432C0000}"/>
    <cellStyle name="40% - Accent5 3 14" xfId="14216" xr:uid="{00000000-0005-0000-0000-0000442C0000}"/>
    <cellStyle name="40% - Accent5 3 14 2" xfId="14217" xr:uid="{00000000-0005-0000-0000-0000452C0000}"/>
    <cellStyle name="40% - Accent5 3 15" xfId="14218" xr:uid="{00000000-0005-0000-0000-0000462C0000}"/>
    <cellStyle name="40% - Accent5 3 15 2" xfId="14219" xr:uid="{00000000-0005-0000-0000-0000472C0000}"/>
    <cellStyle name="40% - Accent5 3 16" xfId="14220" xr:uid="{00000000-0005-0000-0000-0000482C0000}"/>
    <cellStyle name="40% - Accent5 3 17" xfId="14187" xr:uid="{00000000-0005-0000-0000-0000492C0000}"/>
    <cellStyle name="40% - Accent5 3 2" xfId="1458" xr:uid="{00000000-0005-0000-0000-00004A2C0000}"/>
    <cellStyle name="40% - Accent5 3 2 10" xfId="14222" xr:uid="{00000000-0005-0000-0000-00004B2C0000}"/>
    <cellStyle name="40% - Accent5 3 2 10 2" xfId="14223" xr:uid="{00000000-0005-0000-0000-00004C2C0000}"/>
    <cellStyle name="40% - Accent5 3 2 10 2 2" xfId="14224" xr:uid="{00000000-0005-0000-0000-00004D2C0000}"/>
    <cellStyle name="40% - Accent5 3 2 10 3" xfId="14225" xr:uid="{00000000-0005-0000-0000-00004E2C0000}"/>
    <cellStyle name="40% - Accent5 3 2 10 3 2" xfId="14226" xr:uid="{00000000-0005-0000-0000-00004F2C0000}"/>
    <cellStyle name="40% - Accent5 3 2 10 4" xfId="14227" xr:uid="{00000000-0005-0000-0000-0000502C0000}"/>
    <cellStyle name="40% - Accent5 3 2 11" xfId="14228" xr:uid="{00000000-0005-0000-0000-0000512C0000}"/>
    <cellStyle name="40% - Accent5 3 2 11 2" xfId="14229" xr:uid="{00000000-0005-0000-0000-0000522C0000}"/>
    <cellStyle name="40% - Accent5 3 2 11 2 2" xfId="14230" xr:uid="{00000000-0005-0000-0000-0000532C0000}"/>
    <cellStyle name="40% - Accent5 3 2 11 3" xfId="14231" xr:uid="{00000000-0005-0000-0000-0000542C0000}"/>
    <cellStyle name="40% - Accent5 3 2 11 3 2" xfId="14232" xr:uid="{00000000-0005-0000-0000-0000552C0000}"/>
    <cellStyle name="40% - Accent5 3 2 11 4" xfId="14233" xr:uid="{00000000-0005-0000-0000-0000562C0000}"/>
    <cellStyle name="40% - Accent5 3 2 12" xfId="14234" xr:uid="{00000000-0005-0000-0000-0000572C0000}"/>
    <cellStyle name="40% - Accent5 3 2 12 2" xfId="14235" xr:uid="{00000000-0005-0000-0000-0000582C0000}"/>
    <cellStyle name="40% - Accent5 3 2 12 2 2" xfId="14236" xr:uid="{00000000-0005-0000-0000-0000592C0000}"/>
    <cellStyle name="40% - Accent5 3 2 12 3" xfId="14237" xr:uid="{00000000-0005-0000-0000-00005A2C0000}"/>
    <cellStyle name="40% - Accent5 3 2 12 3 2" xfId="14238" xr:uid="{00000000-0005-0000-0000-00005B2C0000}"/>
    <cellStyle name="40% - Accent5 3 2 12 4" xfId="14239" xr:uid="{00000000-0005-0000-0000-00005C2C0000}"/>
    <cellStyle name="40% - Accent5 3 2 13" xfId="14240" xr:uid="{00000000-0005-0000-0000-00005D2C0000}"/>
    <cellStyle name="40% - Accent5 3 2 13 2" xfId="14241" xr:uid="{00000000-0005-0000-0000-00005E2C0000}"/>
    <cellStyle name="40% - Accent5 3 2 14" xfId="14242" xr:uid="{00000000-0005-0000-0000-00005F2C0000}"/>
    <cellStyle name="40% - Accent5 3 2 14 2" xfId="14243" xr:uid="{00000000-0005-0000-0000-0000602C0000}"/>
    <cellStyle name="40% - Accent5 3 2 15" xfId="14244" xr:uid="{00000000-0005-0000-0000-0000612C0000}"/>
    <cellStyle name="40% - Accent5 3 2 15 2" xfId="14245" xr:uid="{00000000-0005-0000-0000-0000622C0000}"/>
    <cellStyle name="40% - Accent5 3 2 16" xfId="14246" xr:uid="{00000000-0005-0000-0000-0000632C0000}"/>
    <cellStyle name="40% - Accent5 3 2 17" xfId="14221" xr:uid="{00000000-0005-0000-0000-0000642C0000}"/>
    <cellStyle name="40% - Accent5 3 2 2" xfId="1840" xr:uid="{00000000-0005-0000-0000-0000652C0000}"/>
    <cellStyle name="40% - Accent5 3 2 2 2" xfId="14248" xr:uid="{00000000-0005-0000-0000-0000662C0000}"/>
    <cellStyle name="40% - Accent5 3 2 2 2 2" xfId="14249" xr:uid="{00000000-0005-0000-0000-0000672C0000}"/>
    <cellStyle name="40% - Accent5 3 2 2 3" xfId="14250" xr:uid="{00000000-0005-0000-0000-0000682C0000}"/>
    <cellStyle name="40% - Accent5 3 2 2 3 2" xfId="14251" xr:uid="{00000000-0005-0000-0000-0000692C0000}"/>
    <cellStyle name="40% - Accent5 3 2 2 4" xfId="14252" xr:uid="{00000000-0005-0000-0000-00006A2C0000}"/>
    <cellStyle name="40% - Accent5 3 2 2 5" xfId="14247" xr:uid="{00000000-0005-0000-0000-00006B2C0000}"/>
    <cellStyle name="40% - Accent5 3 2 3" xfId="2215" xr:uid="{00000000-0005-0000-0000-00006C2C0000}"/>
    <cellStyle name="40% - Accent5 3 2 3 2" xfId="14254" xr:uid="{00000000-0005-0000-0000-00006D2C0000}"/>
    <cellStyle name="40% - Accent5 3 2 3 2 2" xfId="14255" xr:uid="{00000000-0005-0000-0000-00006E2C0000}"/>
    <cellStyle name="40% - Accent5 3 2 3 3" xfId="14256" xr:uid="{00000000-0005-0000-0000-00006F2C0000}"/>
    <cellStyle name="40% - Accent5 3 2 3 3 2" xfId="14257" xr:uid="{00000000-0005-0000-0000-0000702C0000}"/>
    <cellStyle name="40% - Accent5 3 2 3 4" xfId="14258" xr:uid="{00000000-0005-0000-0000-0000712C0000}"/>
    <cellStyle name="40% - Accent5 3 2 3 5" xfId="14253" xr:uid="{00000000-0005-0000-0000-0000722C0000}"/>
    <cellStyle name="40% - Accent5 3 2 4" xfId="2589" xr:uid="{00000000-0005-0000-0000-0000732C0000}"/>
    <cellStyle name="40% - Accent5 3 2 4 2" xfId="14260" xr:uid="{00000000-0005-0000-0000-0000742C0000}"/>
    <cellStyle name="40% - Accent5 3 2 4 2 2" xfId="14261" xr:uid="{00000000-0005-0000-0000-0000752C0000}"/>
    <cellStyle name="40% - Accent5 3 2 4 3" xfId="14262" xr:uid="{00000000-0005-0000-0000-0000762C0000}"/>
    <cellStyle name="40% - Accent5 3 2 4 3 2" xfId="14263" xr:uid="{00000000-0005-0000-0000-0000772C0000}"/>
    <cellStyle name="40% - Accent5 3 2 4 4" xfId="14264" xr:uid="{00000000-0005-0000-0000-0000782C0000}"/>
    <cellStyle name="40% - Accent5 3 2 4 5" xfId="14259" xr:uid="{00000000-0005-0000-0000-0000792C0000}"/>
    <cellStyle name="40% - Accent5 3 2 5" xfId="2961" xr:uid="{00000000-0005-0000-0000-00007A2C0000}"/>
    <cellStyle name="40% - Accent5 3 2 5 2" xfId="14266" xr:uid="{00000000-0005-0000-0000-00007B2C0000}"/>
    <cellStyle name="40% - Accent5 3 2 5 2 2" xfId="14267" xr:uid="{00000000-0005-0000-0000-00007C2C0000}"/>
    <cellStyle name="40% - Accent5 3 2 5 3" xfId="14268" xr:uid="{00000000-0005-0000-0000-00007D2C0000}"/>
    <cellStyle name="40% - Accent5 3 2 5 3 2" xfId="14269" xr:uid="{00000000-0005-0000-0000-00007E2C0000}"/>
    <cellStyle name="40% - Accent5 3 2 5 4" xfId="14270" xr:uid="{00000000-0005-0000-0000-00007F2C0000}"/>
    <cellStyle name="40% - Accent5 3 2 5 5" xfId="14265" xr:uid="{00000000-0005-0000-0000-0000802C0000}"/>
    <cellStyle name="40% - Accent5 3 2 6" xfId="3333" xr:uid="{00000000-0005-0000-0000-0000812C0000}"/>
    <cellStyle name="40% - Accent5 3 2 6 2" xfId="14272" xr:uid="{00000000-0005-0000-0000-0000822C0000}"/>
    <cellStyle name="40% - Accent5 3 2 6 2 2" xfId="14273" xr:uid="{00000000-0005-0000-0000-0000832C0000}"/>
    <cellStyle name="40% - Accent5 3 2 6 3" xfId="14274" xr:uid="{00000000-0005-0000-0000-0000842C0000}"/>
    <cellStyle name="40% - Accent5 3 2 6 3 2" xfId="14275" xr:uid="{00000000-0005-0000-0000-0000852C0000}"/>
    <cellStyle name="40% - Accent5 3 2 6 4" xfId="14276" xr:uid="{00000000-0005-0000-0000-0000862C0000}"/>
    <cellStyle name="40% - Accent5 3 2 6 5" xfId="14271" xr:uid="{00000000-0005-0000-0000-0000872C0000}"/>
    <cellStyle name="40% - Accent5 3 2 7" xfId="4622" xr:uid="{00000000-0005-0000-0000-0000882C0000}"/>
    <cellStyle name="40% - Accent5 3 2 7 2" xfId="14278" xr:uid="{00000000-0005-0000-0000-0000892C0000}"/>
    <cellStyle name="40% - Accent5 3 2 7 2 2" xfId="14279" xr:uid="{00000000-0005-0000-0000-00008A2C0000}"/>
    <cellStyle name="40% - Accent5 3 2 7 3" xfId="14280" xr:uid="{00000000-0005-0000-0000-00008B2C0000}"/>
    <cellStyle name="40% - Accent5 3 2 7 3 2" xfId="14281" xr:uid="{00000000-0005-0000-0000-00008C2C0000}"/>
    <cellStyle name="40% - Accent5 3 2 7 4" xfId="14282" xr:uid="{00000000-0005-0000-0000-00008D2C0000}"/>
    <cellStyle name="40% - Accent5 3 2 7 5" xfId="14277" xr:uid="{00000000-0005-0000-0000-00008E2C0000}"/>
    <cellStyle name="40% - Accent5 3 2 8" xfId="14283" xr:uid="{00000000-0005-0000-0000-00008F2C0000}"/>
    <cellStyle name="40% - Accent5 3 2 8 2" xfId="14284" xr:uid="{00000000-0005-0000-0000-0000902C0000}"/>
    <cellStyle name="40% - Accent5 3 2 8 2 2" xfId="14285" xr:uid="{00000000-0005-0000-0000-0000912C0000}"/>
    <cellStyle name="40% - Accent5 3 2 8 3" xfId="14286" xr:uid="{00000000-0005-0000-0000-0000922C0000}"/>
    <cellStyle name="40% - Accent5 3 2 8 3 2" xfId="14287" xr:uid="{00000000-0005-0000-0000-0000932C0000}"/>
    <cellStyle name="40% - Accent5 3 2 8 4" xfId="14288" xr:uid="{00000000-0005-0000-0000-0000942C0000}"/>
    <cellStyle name="40% - Accent5 3 2 9" xfId="14289" xr:uid="{00000000-0005-0000-0000-0000952C0000}"/>
    <cellStyle name="40% - Accent5 3 2 9 2" xfId="14290" xr:uid="{00000000-0005-0000-0000-0000962C0000}"/>
    <cellStyle name="40% - Accent5 3 2 9 2 2" xfId="14291" xr:uid="{00000000-0005-0000-0000-0000972C0000}"/>
    <cellStyle name="40% - Accent5 3 2 9 3" xfId="14292" xr:uid="{00000000-0005-0000-0000-0000982C0000}"/>
    <cellStyle name="40% - Accent5 3 2 9 3 2" xfId="14293" xr:uid="{00000000-0005-0000-0000-0000992C0000}"/>
    <cellStyle name="40% - Accent5 3 2 9 4" xfId="14294" xr:uid="{00000000-0005-0000-0000-00009A2C0000}"/>
    <cellStyle name="40% - Accent5 3 3" xfId="1585" xr:uid="{00000000-0005-0000-0000-00009B2C0000}"/>
    <cellStyle name="40% - Accent5 3 3 2" xfId="1917" xr:uid="{00000000-0005-0000-0000-00009C2C0000}"/>
    <cellStyle name="40% - Accent5 3 3 2 2" xfId="14297" xr:uid="{00000000-0005-0000-0000-00009D2C0000}"/>
    <cellStyle name="40% - Accent5 3 3 2 3" xfId="14296" xr:uid="{00000000-0005-0000-0000-00009E2C0000}"/>
    <cellStyle name="40% - Accent5 3 3 3" xfId="2292" xr:uid="{00000000-0005-0000-0000-00009F2C0000}"/>
    <cellStyle name="40% - Accent5 3 3 3 2" xfId="14299" xr:uid="{00000000-0005-0000-0000-0000A02C0000}"/>
    <cellStyle name="40% - Accent5 3 3 3 3" xfId="14298" xr:uid="{00000000-0005-0000-0000-0000A12C0000}"/>
    <cellStyle name="40% - Accent5 3 3 4" xfId="2665" xr:uid="{00000000-0005-0000-0000-0000A22C0000}"/>
    <cellStyle name="40% - Accent5 3 3 4 2" xfId="14301" xr:uid="{00000000-0005-0000-0000-0000A32C0000}"/>
    <cellStyle name="40% - Accent5 3 3 4 3" xfId="14300" xr:uid="{00000000-0005-0000-0000-0000A42C0000}"/>
    <cellStyle name="40% - Accent5 3 3 5" xfId="3038" xr:uid="{00000000-0005-0000-0000-0000A52C0000}"/>
    <cellStyle name="40% - Accent5 3 3 5 2" xfId="14303" xr:uid="{00000000-0005-0000-0000-0000A62C0000}"/>
    <cellStyle name="40% - Accent5 3 3 5 3" xfId="14302" xr:uid="{00000000-0005-0000-0000-0000A72C0000}"/>
    <cellStyle name="40% - Accent5 3 3 6" xfId="3409" xr:uid="{00000000-0005-0000-0000-0000A82C0000}"/>
    <cellStyle name="40% - Accent5 3 3 6 2" xfId="14305" xr:uid="{00000000-0005-0000-0000-0000A92C0000}"/>
    <cellStyle name="40% - Accent5 3 3 6 3" xfId="14304" xr:uid="{00000000-0005-0000-0000-0000AA2C0000}"/>
    <cellStyle name="40% - Accent5 3 3 7" xfId="4623" xr:uid="{00000000-0005-0000-0000-0000AB2C0000}"/>
    <cellStyle name="40% - Accent5 3 3 7 2" xfId="14307" xr:uid="{00000000-0005-0000-0000-0000AC2C0000}"/>
    <cellStyle name="40% - Accent5 3 3 7 3" xfId="14306" xr:uid="{00000000-0005-0000-0000-0000AD2C0000}"/>
    <cellStyle name="40% - Accent5 3 3 8" xfId="14308" xr:uid="{00000000-0005-0000-0000-0000AE2C0000}"/>
    <cellStyle name="40% - Accent5 3 3 9" xfId="14295" xr:uid="{00000000-0005-0000-0000-0000AF2C0000}"/>
    <cellStyle name="40% - Accent5 3 4" xfId="1722" xr:uid="{00000000-0005-0000-0000-0000B02C0000}"/>
    <cellStyle name="40% - Accent5 3 4 2" xfId="1961" xr:uid="{00000000-0005-0000-0000-0000B12C0000}"/>
    <cellStyle name="40% - Accent5 3 4 2 2" xfId="14311" xr:uid="{00000000-0005-0000-0000-0000B22C0000}"/>
    <cellStyle name="40% - Accent5 3 4 2 3" xfId="14310" xr:uid="{00000000-0005-0000-0000-0000B32C0000}"/>
    <cellStyle name="40% - Accent5 3 4 3" xfId="2336" xr:uid="{00000000-0005-0000-0000-0000B42C0000}"/>
    <cellStyle name="40% - Accent5 3 4 3 2" xfId="14313" xr:uid="{00000000-0005-0000-0000-0000B52C0000}"/>
    <cellStyle name="40% - Accent5 3 4 3 3" xfId="14312" xr:uid="{00000000-0005-0000-0000-0000B62C0000}"/>
    <cellStyle name="40% - Accent5 3 4 4" xfId="2709" xr:uid="{00000000-0005-0000-0000-0000B72C0000}"/>
    <cellStyle name="40% - Accent5 3 4 4 2" xfId="14315" xr:uid="{00000000-0005-0000-0000-0000B82C0000}"/>
    <cellStyle name="40% - Accent5 3 4 4 3" xfId="14314" xr:uid="{00000000-0005-0000-0000-0000B92C0000}"/>
    <cellStyle name="40% - Accent5 3 4 5" xfId="3082" xr:uid="{00000000-0005-0000-0000-0000BA2C0000}"/>
    <cellStyle name="40% - Accent5 3 4 5 2" xfId="14317" xr:uid="{00000000-0005-0000-0000-0000BB2C0000}"/>
    <cellStyle name="40% - Accent5 3 4 5 3" xfId="14316" xr:uid="{00000000-0005-0000-0000-0000BC2C0000}"/>
    <cellStyle name="40% - Accent5 3 4 6" xfId="3453" xr:uid="{00000000-0005-0000-0000-0000BD2C0000}"/>
    <cellStyle name="40% - Accent5 3 4 6 2" xfId="14319" xr:uid="{00000000-0005-0000-0000-0000BE2C0000}"/>
    <cellStyle name="40% - Accent5 3 4 6 3" xfId="14318" xr:uid="{00000000-0005-0000-0000-0000BF2C0000}"/>
    <cellStyle name="40% - Accent5 3 4 7" xfId="14320" xr:uid="{00000000-0005-0000-0000-0000C02C0000}"/>
    <cellStyle name="40% - Accent5 3 4 8" xfId="14309" xr:uid="{00000000-0005-0000-0000-0000C12C0000}"/>
    <cellStyle name="40% - Accent5 3 5" xfId="2057" xr:uid="{00000000-0005-0000-0000-0000C22C0000}"/>
    <cellStyle name="40% - Accent5 3 5 2" xfId="14322" xr:uid="{00000000-0005-0000-0000-0000C32C0000}"/>
    <cellStyle name="40% - Accent5 3 5 2 2" xfId="14323" xr:uid="{00000000-0005-0000-0000-0000C42C0000}"/>
    <cellStyle name="40% - Accent5 3 5 3" xfId="14324" xr:uid="{00000000-0005-0000-0000-0000C52C0000}"/>
    <cellStyle name="40% - Accent5 3 5 3 2" xfId="14325" xr:uid="{00000000-0005-0000-0000-0000C62C0000}"/>
    <cellStyle name="40% - Accent5 3 5 4" xfId="14326" xr:uid="{00000000-0005-0000-0000-0000C72C0000}"/>
    <cellStyle name="40% - Accent5 3 5 4 2" xfId="14327" xr:uid="{00000000-0005-0000-0000-0000C82C0000}"/>
    <cellStyle name="40% - Accent5 3 5 5" xfId="14328" xr:uid="{00000000-0005-0000-0000-0000C92C0000}"/>
    <cellStyle name="40% - Accent5 3 5 6" xfId="14321" xr:uid="{00000000-0005-0000-0000-0000CA2C0000}"/>
    <cellStyle name="40% - Accent5 3 6" xfId="2431" xr:uid="{00000000-0005-0000-0000-0000CB2C0000}"/>
    <cellStyle name="40% - Accent5 3 6 2" xfId="14330" xr:uid="{00000000-0005-0000-0000-0000CC2C0000}"/>
    <cellStyle name="40% - Accent5 3 6 2 2" xfId="14331" xr:uid="{00000000-0005-0000-0000-0000CD2C0000}"/>
    <cellStyle name="40% - Accent5 3 6 3" xfId="14332" xr:uid="{00000000-0005-0000-0000-0000CE2C0000}"/>
    <cellStyle name="40% - Accent5 3 6 3 2" xfId="14333" xr:uid="{00000000-0005-0000-0000-0000CF2C0000}"/>
    <cellStyle name="40% - Accent5 3 6 4" xfId="14334" xr:uid="{00000000-0005-0000-0000-0000D02C0000}"/>
    <cellStyle name="40% - Accent5 3 6 4 2" xfId="14335" xr:uid="{00000000-0005-0000-0000-0000D12C0000}"/>
    <cellStyle name="40% - Accent5 3 6 5" xfId="14336" xr:uid="{00000000-0005-0000-0000-0000D22C0000}"/>
    <cellStyle name="40% - Accent5 3 6 6" xfId="14329" xr:uid="{00000000-0005-0000-0000-0000D32C0000}"/>
    <cellStyle name="40% - Accent5 3 7" xfId="2803" xr:uid="{00000000-0005-0000-0000-0000D42C0000}"/>
    <cellStyle name="40% - Accent5 3 7 2" xfId="14338" xr:uid="{00000000-0005-0000-0000-0000D52C0000}"/>
    <cellStyle name="40% - Accent5 3 7 2 2" xfId="14339" xr:uid="{00000000-0005-0000-0000-0000D62C0000}"/>
    <cellStyle name="40% - Accent5 3 7 3" xfId="14340" xr:uid="{00000000-0005-0000-0000-0000D72C0000}"/>
    <cellStyle name="40% - Accent5 3 7 3 2" xfId="14341" xr:uid="{00000000-0005-0000-0000-0000D82C0000}"/>
    <cellStyle name="40% - Accent5 3 7 4" xfId="14342" xr:uid="{00000000-0005-0000-0000-0000D92C0000}"/>
    <cellStyle name="40% - Accent5 3 7 4 2" xfId="14343" xr:uid="{00000000-0005-0000-0000-0000DA2C0000}"/>
    <cellStyle name="40% - Accent5 3 7 5" xfId="14344" xr:uid="{00000000-0005-0000-0000-0000DB2C0000}"/>
    <cellStyle name="40% - Accent5 3 7 6" xfId="14337" xr:uid="{00000000-0005-0000-0000-0000DC2C0000}"/>
    <cellStyle name="40% - Accent5 3 8" xfId="3174" xr:uid="{00000000-0005-0000-0000-0000DD2C0000}"/>
    <cellStyle name="40% - Accent5 3 8 2" xfId="14346" xr:uid="{00000000-0005-0000-0000-0000DE2C0000}"/>
    <cellStyle name="40% - Accent5 3 8 2 2" xfId="14347" xr:uid="{00000000-0005-0000-0000-0000DF2C0000}"/>
    <cellStyle name="40% - Accent5 3 8 3" xfId="14348" xr:uid="{00000000-0005-0000-0000-0000E02C0000}"/>
    <cellStyle name="40% - Accent5 3 8 3 2" xfId="14349" xr:uid="{00000000-0005-0000-0000-0000E12C0000}"/>
    <cellStyle name="40% - Accent5 3 8 4" xfId="14350" xr:uid="{00000000-0005-0000-0000-0000E22C0000}"/>
    <cellStyle name="40% - Accent5 3 8 4 2" xfId="14351" xr:uid="{00000000-0005-0000-0000-0000E32C0000}"/>
    <cellStyle name="40% - Accent5 3 8 5" xfId="14352" xr:uid="{00000000-0005-0000-0000-0000E42C0000}"/>
    <cellStyle name="40% - Accent5 3 8 6" xfId="14345" xr:uid="{00000000-0005-0000-0000-0000E52C0000}"/>
    <cellStyle name="40% - Accent5 3 9" xfId="3549" xr:uid="{00000000-0005-0000-0000-0000E62C0000}"/>
    <cellStyle name="40% - Accent5 3 9 2" xfId="4624" xr:uid="{00000000-0005-0000-0000-0000E72C0000}"/>
    <cellStyle name="40% - Accent5 3 9 2 2" xfId="14355" xr:uid="{00000000-0005-0000-0000-0000E82C0000}"/>
    <cellStyle name="40% - Accent5 3 9 2 3" xfId="14354" xr:uid="{00000000-0005-0000-0000-0000E92C0000}"/>
    <cellStyle name="40% - Accent5 3 9 3" xfId="14356" xr:uid="{00000000-0005-0000-0000-0000EA2C0000}"/>
    <cellStyle name="40% - Accent5 3 9 3 2" xfId="14357" xr:uid="{00000000-0005-0000-0000-0000EB2C0000}"/>
    <cellStyle name="40% - Accent5 3 9 4" xfId="14358" xr:uid="{00000000-0005-0000-0000-0000EC2C0000}"/>
    <cellStyle name="40% - Accent5 3 9 4 2" xfId="14359" xr:uid="{00000000-0005-0000-0000-0000ED2C0000}"/>
    <cellStyle name="40% - Accent5 3 9 5" xfId="14360" xr:uid="{00000000-0005-0000-0000-0000EE2C0000}"/>
    <cellStyle name="40% - Accent5 3 9 5 2" xfId="14361" xr:uid="{00000000-0005-0000-0000-0000EF2C0000}"/>
    <cellStyle name="40% - Accent5 3 9 6" xfId="14362" xr:uid="{00000000-0005-0000-0000-0000F02C0000}"/>
    <cellStyle name="40% - Accent5 3 9 7" xfId="14353" xr:uid="{00000000-0005-0000-0000-0000F12C0000}"/>
    <cellStyle name="40% - Accent5 30" xfId="14363" xr:uid="{00000000-0005-0000-0000-0000F22C0000}"/>
    <cellStyle name="40% - Accent5 31" xfId="13846" xr:uid="{00000000-0005-0000-0000-0000F32C0000}"/>
    <cellStyle name="40% - Accent5 4" xfId="245" xr:uid="{00000000-0005-0000-0000-0000F42C0000}"/>
    <cellStyle name="40% - Accent5 4 10" xfId="3729" xr:uid="{00000000-0005-0000-0000-0000F52C0000}"/>
    <cellStyle name="40% - Accent5 4 10 2" xfId="4626" xr:uid="{00000000-0005-0000-0000-0000F62C0000}"/>
    <cellStyle name="40% - Accent5 4 10 2 2" xfId="14367" xr:uid="{00000000-0005-0000-0000-0000F72C0000}"/>
    <cellStyle name="40% - Accent5 4 10 2 3" xfId="14366" xr:uid="{00000000-0005-0000-0000-0000F82C0000}"/>
    <cellStyle name="40% - Accent5 4 10 3" xfId="14368" xr:uid="{00000000-0005-0000-0000-0000F92C0000}"/>
    <cellStyle name="40% - Accent5 4 10 3 2" xfId="14369" xr:uid="{00000000-0005-0000-0000-0000FA2C0000}"/>
    <cellStyle name="40% - Accent5 4 10 4" xfId="14370" xr:uid="{00000000-0005-0000-0000-0000FB2C0000}"/>
    <cellStyle name="40% - Accent5 4 10 4 2" xfId="14371" xr:uid="{00000000-0005-0000-0000-0000FC2C0000}"/>
    <cellStyle name="40% - Accent5 4 10 5" xfId="14372" xr:uid="{00000000-0005-0000-0000-0000FD2C0000}"/>
    <cellStyle name="40% - Accent5 4 10 5 2" xfId="14373" xr:uid="{00000000-0005-0000-0000-0000FE2C0000}"/>
    <cellStyle name="40% - Accent5 4 10 6" xfId="14374" xr:uid="{00000000-0005-0000-0000-0000FF2C0000}"/>
    <cellStyle name="40% - Accent5 4 10 7" xfId="14365" xr:uid="{00000000-0005-0000-0000-0000002D0000}"/>
    <cellStyle name="40% - Accent5 4 11" xfId="1311" xr:uid="{00000000-0005-0000-0000-0000012D0000}"/>
    <cellStyle name="40% - Accent5 4 11 10" xfId="24885" xr:uid="{00000000-0005-0000-0000-0000022D0000}"/>
    <cellStyle name="40% - Accent5 4 11 11" xfId="26569" xr:uid="{00000000-0005-0000-0000-0000032D0000}"/>
    <cellStyle name="40% - Accent5 4 11 2" xfId="4153" xr:uid="{00000000-0005-0000-0000-0000042D0000}"/>
    <cellStyle name="40% - Accent5 4 11 2 2" xfId="5426" xr:uid="{00000000-0005-0000-0000-0000052D0000}"/>
    <cellStyle name="40% - Accent5 4 11 2 2 2" xfId="6408" xr:uid="{00000000-0005-0000-0000-0000062D0000}"/>
    <cellStyle name="40% - Accent5 4 11 2 2 2 2" xfId="14378" xr:uid="{00000000-0005-0000-0000-0000072D0000}"/>
    <cellStyle name="40% - Accent5 4 11 2 2 2 3" xfId="26572" xr:uid="{00000000-0005-0000-0000-0000082D0000}"/>
    <cellStyle name="40% - Accent5 4 11 2 2 3" xfId="14377" xr:uid="{00000000-0005-0000-0000-0000092D0000}"/>
    <cellStyle name="40% - Accent5 4 11 2 2 4" xfId="26571" xr:uid="{00000000-0005-0000-0000-00000A2D0000}"/>
    <cellStyle name="40% - Accent5 4 11 2 3" xfId="5736" xr:uid="{00000000-0005-0000-0000-00000B2D0000}"/>
    <cellStyle name="40% - Accent5 4 11 2 3 2" xfId="6409" xr:uid="{00000000-0005-0000-0000-00000C2D0000}"/>
    <cellStyle name="40% - Accent5 4 11 2 3 2 2" xfId="26574" xr:uid="{00000000-0005-0000-0000-00000D2D0000}"/>
    <cellStyle name="40% - Accent5 4 11 2 3 3" xfId="14379" xr:uid="{00000000-0005-0000-0000-00000E2D0000}"/>
    <cellStyle name="40% - Accent5 4 11 2 3 4" xfId="26573" xr:uid="{00000000-0005-0000-0000-00000F2D0000}"/>
    <cellStyle name="40% - Accent5 4 11 2 4" xfId="4628" xr:uid="{00000000-0005-0000-0000-0000102D0000}"/>
    <cellStyle name="40% - Accent5 4 11 2 4 2" xfId="6410" xr:uid="{00000000-0005-0000-0000-0000112D0000}"/>
    <cellStyle name="40% - Accent5 4 11 2 4 2 2" xfId="26576" xr:uid="{00000000-0005-0000-0000-0000122D0000}"/>
    <cellStyle name="40% - Accent5 4 11 2 4 3" xfId="26575" xr:uid="{00000000-0005-0000-0000-0000132D0000}"/>
    <cellStyle name="40% - Accent5 4 11 2 5" xfId="6407" xr:uid="{00000000-0005-0000-0000-0000142D0000}"/>
    <cellStyle name="40% - Accent5 4 11 2 5 2" xfId="26577" xr:uid="{00000000-0005-0000-0000-0000152D0000}"/>
    <cellStyle name="40% - Accent5 4 11 2 6" xfId="14376" xr:uid="{00000000-0005-0000-0000-0000162D0000}"/>
    <cellStyle name="40% - Accent5 4 11 2 7" xfId="25005" xr:uid="{00000000-0005-0000-0000-0000172D0000}"/>
    <cellStyle name="40% - Accent5 4 11 2 8" xfId="26570" xr:uid="{00000000-0005-0000-0000-0000182D0000}"/>
    <cellStyle name="40% - Accent5 4 11 3" xfId="5425" xr:uid="{00000000-0005-0000-0000-0000192D0000}"/>
    <cellStyle name="40% - Accent5 4 11 3 2" xfId="6411" xr:uid="{00000000-0005-0000-0000-00001A2D0000}"/>
    <cellStyle name="40% - Accent5 4 11 3 2 2" xfId="14381" xr:uid="{00000000-0005-0000-0000-00001B2D0000}"/>
    <cellStyle name="40% - Accent5 4 11 3 2 3" xfId="26579" xr:uid="{00000000-0005-0000-0000-00001C2D0000}"/>
    <cellStyle name="40% - Accent5 4 11 3 3" xfId="14380" xr:uid="{00000000-0005-0000-0000-00001D2D0000}"/>
    <cellStyle name="40% - Accent5 4 11 3 4" xfId="26578" xr:uid="{00000000-0005-0000-0000-00001E2D0000}"/>
    <cellStyle name="40% - Accent5 4 11 4" xfId="5735" xr:uid="{00000000-0005-0000-0000-00001F2D0000}"/>
    <cellStyle name="40% - Accent5 4 11 4 2" xfId="6412" xr:uid="{00000000-0005-0000-0000-0000202D0000}"/>
    <cellStyle name="40% - Accent5 4 11 4 2 2" xfId="14383" xr:uid="{00000000-0005-0000-0000-0000212D0000}"/>
    <cellStyle name="40% - Accent5 4 11 4 2 3" xfId="26581" xr:uid="{00000000-0005-0000-0000-0000222D0000}"/>
    <cellStyle name="40% - Accent5 4 11 4 3" xfId="14382" xr:uid="{00000000-0005-0000-0000-0000232D0000}"/>
    <cellStyle name="40% - Accent5 4 11 4 4" xfId="26580" xr:uid="{00000000-0005-0000-0000-0000242D0000}"/>
    <cellStyle name="40% - Accent5 4 11 5" xfId="4627" xr:uid="{00000000-0005-0000-0000-0000252D0000}"/>
    <cellStyle name="40% - Accent5 4 11 5 2" xfId="6413" xr:uid="{00000000-0005-0000-0000-0000262D0000}"/>
    <cellStyle name="40% - Accent5 4 11 5 2 2" xfId="14386" xr:uid="{00000000-0005-0000-0000-0000272D0000}"/>
    <cellStyle name="40% - Accent5 4 11 5 2 3" xfId="14385" xr:uid="{00000000-0005-0000-0000-0000282D0000}"/>
    <cellStyle name="40% - Accent5 4 11 5 2 4" xfId="26583" xr:uid="{00000000-0005-0000-0000-0000292D0000}"/>
    <cellStyle name="40% - Accent5 4 11 5 3" xfId="14387" xr:uid="{00000000-0005-0000-0000-00002A2D0000}"/>
    <cellStyle name="40% - Accent5 4 11 5 3 2" xfId="14388" xr:uid="{00000000-0005-0000-0000-00002B2D0000}"/>
    <cellStyle name="40% - Accent5 4 11 5 4" xfId="14389" xr:uid="{00000000-0005-0000-0000-00002C2D0000}"/>
    <cellStyle name="40% - Accent5 4 11 5 5" xfId="14384" xr:uid="{00000000-0005-0000-0000-00002D2D0000}"/>
    <cellStyle name="40% - Accent5 4 11 5 6" xfId="26582" xr:uid="{00000000-0005-0000-0000-00002E2D0000}"/>
    <cellStyle name="40% - Accent5 4 11 6" xfId="6406" xr:uid="{00000000-0005-0000-0000-00002F2D0000}"/>
    <cellStyle name="40% - Accent5 4 11 6 2" xfId="14391" xr:uid="{00000000-0005-0000-0000-0000302D0000}"/>
    <cellStyle name="40% - Accent5 4 11 6 3" xfId="14390" xr:uid="{00000000-0005-0000-0000-0000312D0000}"/>
    <cellStyle name="40% - Accent5 4 11 6 4" xfId="26584" xr:uid="{00000000-0005-0000-0000-0000322D0000}"/>
    <cellStyle name="40% - Accent5 4 11 7" xfId="14392" xr:uid="{00000000-0005-0000-0000-0000332D0000}"/>
    <cellStyle name="40% - Accent5 4 11 7 2" xfId="14393" xr:uid="{00000000-0005-0000-0000-0000342D0000}"/>
    <cellStyle name="40% - Accent5 4 11 8" xfId="14394" xr:uid="{00000000-0005-0000-0000-0000352D0000}"/>
    <cellStyle name="40% - Accent5 4 11 9" xfId="14375" xr:uid="{00000000-0005-0000-0000-0000362D0000}"/>
    <cellStyle name="40% - Accent5 4 12" xfId="4629" xr:uid="{00000000-0005-0000-0000-0000372D0000}"/>
    <cellStyle name="40% - Accent5 4 12 2" xfId="5427" xr:uid="{00000000-0005-0000-0000-0000382D0000}"/>
    <cellStyle name="40% - Accent5 4 12 2 2" xfId="6415" xr:uid="{00000000-0005-0000-0000-0000392D0000}"/>
    <cellStyle name="40% - Accent5 4 12 2 2 2" xfId="14397" xr:uid="{00000000-0005-0000-0000-00003A2D0000}"/>
    <cellStyle name="40% - Accent5 4 12 2 2 3" xfId="26587" xr:uid="{00000000-0005-0000-0000-00003B2D0000}"/>
    <cellStyle name="40% - Accent5 4 12 2 3" xfId="14396" xr:uid="{00000000-0005-0000-0000-00003C2D0000}"/>
    <cellStyle name="40% - Accent5 4 12 2 4" xfId="26586" xr:uid="{00000000-0005-0000-0000-00003D2D0000}"/>
    <cellStyle name="40% - Accent5 4 12 3" xfId="5737" xr:uid="{00000000-0005-0000-0000-00003E2D0000}"/>
    <cellStyle name="40% - Accent5 4 12 3 2" xfId="6416" xr:uid="{00000000-0005-0000-0000-00003F2D0000}"/>
    <cellStyle name="40% - Accent5 4 12 3 2 2" xfId="14399" xr:uid="{00000000-0005-0000-0000-0000402D0000}"/>
    <cellStyle name="40% - Accent5 4 12 3 2 3" xfId="26589" xr:uid="{00000000-0005-0000-0000-0000412D0000}"/>
    <cellStyle name="40% - Accent5 4 12 3 3" xfId="14398" xr:uid="{00000000-0005-0000-0000-0000422D0000}"/>
    <cellStyle name="40% - Accent5 4 12 3 4" xfId="26588" xr:uid="{00000000-0005-0000-0000-0000432D0000}"/>
    <cellStyle name="40% - Accent5 4 12 4" xfId="6414" xr:uid="{00000000-0005-0000-0000-0000442D0000}"/>
    <cellStyle name="40% - Accent5 4 12 4 2" xfId="14401" xr:uid="{00000000-0005-0000-0000-0000452D0000}"/>
    <cellStyle name="40% - Accent5 4 12 4 3" xfId="14400" xr:uid="{00000000-0005-0000-0000-0000462D0000}"/>
    <cellStyle name="40% - Accent5 4 12 4 4" xfId="26590" xr:uid="{00000000-0005-0000-0000-0000472D0000}"/>
    <cellStyle name="40% - Accent5 4 12 5" xfId="14402" xr:uid="{00000000-0005-0000-0000-0000482D0000}"/>
    <cellStyle name="40% - Accent5 4 12 6" xfId="14395" xr:uid="{00000000-0005-0000-0000-0000492D0000}"/>
    <cellStyle name="40% - Accent5 4 12 7" xfId="26585" xr:uid="{00000000-0005-0000-0000-00004A2D0000}"/>
    <cellStyle name="40% - Accent5 4 13" xfId="5424" xr:uid="{00000000-0005-0000-0000-00004B2D0000}"/>
    <cellStyle name="40% - Accent5 4 13 2" xfId="6417" xr:uid="{00000000-0005-0000-0000-00004C2D0000}"/>
    <cellStyle name="40% - Accent5 4 13 2 2" xfId="14405" xr:uid="{00000000-0005-0000-0000-00004D2D0000}"/>
    <cellStyle name="40% - Accent5 4 13 2 3" xfId="14404" xr:uid="{00000000-0005-0000-0000-00004E2D0000}"/>
    <cellStyle name="40% - Accent5 4 13 2 4" xfId="26592" xr:uid="{00000000-0005-0000-0000-00004F2D0000}"/>
    <cellStyle name="40% - Accent5 4 13 3" xfId="14406" xr:uid="{00000000-0005-0000-0000-0000502D0000}"/>
    <cellStyle name="40% - Accent5 4 13 3 2" xfId="14407" xr:uid="{00000000-0005-0000-0000-0000512D0000}"/>
    <cellStyle name="40% - Accent5 4 13 4" xfId="14408" xr:uid="{00000000-0005-0000-0000-0000522D0000}"/>
    <cellStyle name="40% - Accent5 4 13 5" xfId="14403" xr:uid="{00000000-0005-0000-0000-0000532D0000}"/>
    <cellStyle name="40% - Accent5 4 13 6" xfId="26591" xr:uid="{00000000-0005-0000-0000-0000542D0000}"/>
    <cellStyle name="40% - Accent5 4 14" xfId="5734" xr:uid="{00000000-0005-0000-0000-0000552D0000}"/>
    <cellStyle name="40% - Accent5 4 14 2" xfId="6418" xr:uid="{00000000-0005-0000-0000-0000562D0000}"/>
    <cellStyle name="40% - Accent5 4 14 2 2" xfId="14410" xr:uid="{00000000-0005-0000-0000-0000572D0000}"/>
    <cellStyle name="40% - Accent5 4 14 2 3" xfId="26594" xr:uid="{00000000-0005-0000-0000-0000582D0000}"/>
    <cellStyle name="40% - Accent5 4 14 3" xfId="14409" xr:uid="{00000000-0005-0000-0000-0000592D0000}"/>
    <cellStyle name="40% - Accent5 4 14 4" xfId="26593" xr:uid="{00000000-0005-0000-0000-00005A2D0000}"/>
    <cellStyle name="40% - Accent5 4 15" xfId="4625" xr:uid="{00000000-0005-0000-0000-00005B2D0000}"/>
    <cellStyle name="40% - Accent5 4 15 2" xfId="6419" xr:uid="{00000000-0005-0000-0000-00005C2D0000}"/>
    <cellStyle name="40% - Accent5 4 15 2 2" xfId="14412" xr:uid="{00000000-0005-0000-0000-00005D2D0000}"/>
    <cellStyle name="40% - Accent5 4 15 2 3" xfId="26596" xr:uid="{00000000-0005-0000-0000-00005E2D0000}"/>
    <cellStyle name="40% - Accent5 4 15 3" xfId="14411" xr:uid="{00000000-0005-0000-0000-00005F2D0000}"/>
    <cellStyle name="40% - Accent5 4 15 4" xfId="26595" xr:uid="{00000000-0005-0000-0000-0000602D0000}"/>
    <cellStyle name="40% - Accent5 4 16" xfId="14413" xr:uid="{00000000-0005-0000-0000-0000612D0000}"/>
    <cellStyle name="40% - Accent5 4 16 2" xfId="14414" xr:uid="{00000000-0005-0000-0000-0000622D0000}"/>
    <cellStyle name="40% - Accent5 4 17" xfId="14415" xr:uid="{00000000-0005-0000-0000-0000632D0000}"/>
    <cellStyle name="40% - Accent5 4 17 2" xfId="14416" xr:uid="{00000000-0005-0000-0000-0000642D0000}"/>
    <cellStyle name="40% - Accent5 4 17 2 2" xfId="14417" xr:uid="{00000000-0005-0000-0000-0000652D0000}"/>
    <cellStyle name="40% - Accent5 4 17 3" xfId="14418" xr:uid="{00000000-0005-0000-0000-0000662D0000}"/>
    <cellStyle name="40% - Accent5 4 17 3 2" xfId="14419" xr:uid="{00000000-0005-0000-0000-0000672D0000}"/>
    <cellStyle name="40% - Accent5 4 17 4" xfId="14420" xr:uid="{00000000-0005-0000-0000-0000682D0000}"/>
    <cellStyle name="40% - Accent5 4 18" xfId="14421" xr:uid="{00000000-0005-0000-0000-0000692D0000}"/>
    <cellStyle name="40% - Accent5 4 18 2" xfId="14422" xr:uid="{00000000-0005-0000-0000-00006A2D0000}"/>
    <cellStyle name="40% - Accent5 4 19" xfId="14423" xr:uid="{00000000-0005-0000-0000-00006B2D0000}"/>
    <cellStyle name="40% - Accent5 4 19 2" xfId="14424" xr:uid="{00000000-0005-0000-0000-00006C2D0000}"/>
    <cellStyle name="40% - Accent5 4 2" xfId="1503" xr:uid="{00000000-0005-0000-0000-00006D2D0000}"/>
    <cellStyle name="40% - Accent5 4 2 10" xfId="14426" xr:uid="{00000000-0005-0000-0000-00006E2D0000}"/>
    <cellStyle name="40% - Accent5 4 2 10 2" xfId="14427" xr:uid="{00000000-0005-0000-0000-00006F2D0000}"/>
    <cellStyle name="40% - Accent5 4 2 10 2 2" xfId="14428" xr:uid="{00000000-0005-0000-0000-0000702D0000}"/>
    <cellStyle name="40% - Accent5 4 2 10 3" xfId="14429" xr:uid="{00000000-0005-0000-0000-0000712D0000}"/>
    <cellStyle name="40% - Accent5 4 2 10 3 2" xfId="14430" xr:uid="{00000000-0005-0000-0000-0000722D0000}"/>
    <cellStyle name="40% - Accent5 4 2 10 4" xfId="14431" xr:uid="{00000000-0005-0000-0000-0000732D0000}"/>
    <cellStyle name="40% - Accent5 4 2 11" xfId="14432" xr:uid="{00000000-0005-0000-0000-0000742D0000}"/>
    <cellStyle name="40% - Accent5 4 2 11 2" xfId="14433" xr:uid="{00000000-0005-0000-0000-0000752D0000}"/>
    <cellStyle name="40% - Accent5 4 2 11 2 2" xfId="14434" xr:uid="{00000000-0005-0000-0000-0000762D0000}"/>
    <cellStyle name="40% - Accent5 4 2 11 3" xfId="14435" xr:uid="{00000000-0005-0000-0000-0000772D0000}"/>
    <cellStyle name="40% - Accent5 4 2 11 3 2" xfId="14436" xr:uid="{00000000-0005-0000-0000-0000782D0000}"/>
    <cellStyle name="40% - Accent5 4 2 11 4" xfId="14437" xr:uid="{00000000-0005-0000-0000-0000792D0000}"/>
    <cellStyle name="40% - Accent5 4 2 12" xfId="14438" xr:uid="{00000000-0005-0000-0000-00007A2D0000}"/>
    <cellStyle name="40% - Accent5 4 2 12 2" xfId="14439" xr:uid="{00000000-0005-0000-0000-00007B2D0000}"/>
    <cellStyle name="40% - Accent5 4 2 12 2 2" xfId="14440" xr:uid="{00000000-0005-0000-0000-00007C2D0000}"/>
    <cellStyle name="40% - Accent5 4 2 12 3" xfId="14441" xr:uid="{00000000-0005-0000-0000-00007D2D0000}"/>
    <cellStyle name="40% - Accent5 4 2 12 3 2" xfId="14442" xr:uid="{00000000-0005-0000-0000-00007E2D0000}"/>
    <cellStyle name="40% - Accent5 4 2 12 4" xfId="14443" xr:uid="{00000000-0005-0000-0000-00007F2D0000}"/>
    <cellStyle name="40% - Accent5 4 2 13" xfId="14444" xr:uid="{00000000-0005-0000-0000-0000802D0000}"/>
    <cellStyle name="40% - Accent5 4 2 13 2" xfId="14445" xr:uid="{00000000-0005-0000-0000-0000812D0000}"/>
    <cellStyle name="40% - Accent5 4 2 14" xfId="14446" xr:uid="{00000000-0005-0000-0000-0000822D0000}"/>
    <cellStyle name="40% - Accent5 4 2 14 2" xfId="14447" xr:uid="{00000000-0005-0000-0000-0000832D0000}"/>
    <cellStyle name="40% - Accent5 4 2 15" xfId="14448" xr:uid="{00000000-0005-0000-0000-0000842D0000}"/>
    <cellStyle name="40% - Accent5 4 2 15 2" xfId="14449" xr:uid="{00000000-0005-0000-0000-0000852D0000}"/>
    <cellStyle name="40% - Accent5 4 2 16" xfId="14450" xr:uid="{00000000-0005-0000-0000-0000862D0000}"/>
    <cellStyle name="40% - Accent5 4 2 16 2" xfId="14451" xr:uid="{00000000-0005-0000-0000-0000872D0000}"/>
    <cellStyle name="40% - Accent5 4 2 17" xfId="14452" xr:uid="{00000000-0005-0000-0000-0000882D0000}"/>
    <cellStyle name="40% - Accent5 4 2 18" xfId="14425" xr:uid="{00000000-0005-0000-0000-0000892D0000}"/>
    <cellStyle name="40% - Accent5 4 2 2" xfId="4630" xr:uid="{00000000-0005-0000-0000-00008A2D0000}"/>
    <cellStyle name="40% - Accent5 4 2 2 2" xfId="14454" xr:uid="{00000000-0005-0000-0000-00008B2D0000}"/>
    <cellStyle name="40% - Accent5 4 2 2 2 2" xfId="14455" xr:uid="{00000000-0005-0000-0000-00008C2D0000}"/>
    <cellStyle name="40% - Accent5 4 2 2 3" xfId="14456" xr:uid="{00000000-0005-0000-0000-00008D2D0000}"/>
    <cellStyle name="40% - Accent5 4 2 2 3 2" xfId="14457" xr:uid="{00000000-0005-0000-0000-00008E2D0000}"/>
    <cellStyle name="40% - Accent5 4 2 2 4" xfId="14458" xr:uid="{00000000-0005-0000-0000-00008F2D0000}"/>
    <cellStyle name="40% - Accent5 4 2 2 5" xfId="14453" xr:uid="{00000000-0005-0000-0000-0000902D0000}"/>
    <cellStyle name="40% - Accent5 4 2 3" xfId="14459" xr:uid="{00000000-0005-0000-0000-0000912D0000}"/>
    <cellStyle name="40% - Accent5 4 2 3 2" xfId="14460" xr:uid="{00000000-0005-0000-0000-0000922D0000}"/>
    <cellStyle name="40% - Accent5 4 2 3 2 2" xfId="14461" xr:uid="{00000000-0005-0000-0000-0000932D0000}"/>
    <cellStyle name="40% - Accent5 4 2 3 3" xfId="14462" xr:uid="{00000000-0005-0000-0000-0000942D0000}"/>
    <cellStyle name="40% - Accent5 4 2 3 3 2" xfId="14463" xr:uid="{00000000-0005-0000-0000-0000952D0000}"/>
    <cellStyle name="40% - Accent5 4 2 3 4" xfId="14464" xr:uid="{00000000-0005-0000-0000-0000962D0000}"/>
    <cellStyle name="40% - Accent5 4 2 4" xfId="14465" xr:uid="{00000000-0005-0000-0000-0000972D0000}"/>
    <cellStyle name="40% - Accent5 4 2 4 2" xfId="14466" xr:uid="{00000000-0005-0000-0000-0000982D0000}"/>
    <cellStyle name="40% - Accent5 4 2 4 2 2" xfId="14467" xr:uid="{00000000-0005-0000-0000-0000992D0000}"/>
    <cellStyle name="40% - Accent5 4 2 4 3" xfId="14468" xr:uid="{00000000-0005-0000-0000-00009A2D0000}"/>
    <cellStyle name="40% - Accent5 4 2 4 3 2" xfId="14469" xr:uid="{00000000-0005-0000-0000-00009B2D0000}"/>
    <cellStyle name="40% - Accent5 4 2 4 4" xfId="14470" xr:uid="{00000000-0005-0000-0000-00009C2D0000}"/>
    <cellStyle name="40% - Accent5 4 2 5" xfId="14471" xr:uid="{00000000-0005-0000-0000-00009D2D0000}"/>
    <cellStyle name="40% - Accent5 4 2 5 2" xfId="14472" xr:uid="{00000000-0005-0000-0000-00009E2D0000}"/>
    <cellStyle name="40% - Accent5 4 2 5 2 2" xfId="14473" xr:uid="{00000000-0005-0000-0000-00009F2D0000}"/>
    <cellStyle name="40% - Accent5 4 2 5 3" xfId="14474" xr:uid="{00000000-0005-0000-0000-0000A02D0000}"/>
    <cellStyle name="40% - Accent5 4 2 5 3 2" xfId="14475" xr:uid="{00000000-0005-0000-0000-0000A12D0000}"/>
    <cellStyle name="40% - Accent5 4 2 5 4" xfId="14476" xr:uid="{00000000-0005-0000-0000-0000A22D0000}"/>
    <cellStyle name="40% - Accent5 4 2 6" xfId="14477" xr:uid="{00000000-0005-0000-0000-0000A32D0000}"/>
    <cellStyle name="40% - Accent5 4 2 6 2" xfId="14478" xr:uid="{00000000-0005-0000-0000-0000A42D0000}"/>
    <cellStyle name="40% - Accent5 4 2 6 2 2" xfId="14479" xr:uid="{00000000-0005-0000-0000-0000A52D0000}"/>
    <cellStyle name="40% - Accent5 4 2 6 3" xfId="14480" xr:uid="{00000000-0005-0000-0000-0000A62D0000}"/>
    <cellStyle name="40% - Accent5 4 2 6 3 2" xfId="14481" xr:uid="{00000000-0005-0000-0000-0000A72D0000}"/>
    <cellStyle name="40% - Accent5 4 2 6 4" xfId="14482" xr:uid="{00000000-0005-0000-0000-0000A82D0000}"/>
    <cellStyle name="40% - Accent5 4 2 7" xfId="14483" xr:uid="{00000000-0005-0000-0000-0000A92D0000}"/>
    <cellStyle name="40% - Accent5 4 2 7 2" xfId="14484" xr:uid="{00000000-0005-0000-0000-0000AA2D0000}"/>
    <cellStyle name="40% - Accent5 4 2 7 2 2" xfId="14485" xr:uid="{00000000-0005-0000-0000-0000AB2D0000}"/>
    <cellStyle name="40% - Accent5 4 2 7 3" xfId="14486" xr:uid="{00000000-0005-0000-0000-0000AC2D0000}"/>
    <cellStyle name="40% - Accent5 4 2 7 3 2" xfId="14487" xr:uid="{00000000-0005-0000-0000-0000AD2D0000}"/>
    <cellStyle name="40% - Accent5 4 2 7 4" xfId="14488" xr:uid="{00000000-0005-0000-0000-0000AE2D0000}"/>
    <cellStyle name="40% - Accent5 4 2 8" xfId="14489" xr:uid="{00000000-0005-0000-0000-0000AF2D0000}"/>
    <cellStyle name="40% - Accent5 4 2 8 2" xfId="14490" xr:uid="{00000000-0005-0000-0000-0000B02D0000}"/>
    <cellStyle name="40% - Accent5 4 2 8 2 2" xfId="14491" xr:uid="{00000000-0005-0000-0000-0000B12D0000}"/>
    <cellStyle name="40% - Accent5 4 2 8 3" xfId="14492" xr:uid="{00000000-0005-0000-0000-0000B22D0000}"/>
    <cellStyle name="40% - Accent5 4 2 8 3 2" xfId="14493" xr:uid="{00000000-0005-0000-0000-0000B32D0000}"/>
    <cellStyle name="40% - Accent5 4 2 8 4" xfId="14494" xr:uid="{00000000-0005-0000-0000-0000B42D0000}"/>
    <cellStyle name="40% - Accent5 4 2 9" xfId="14495" xr:uid="{00000000-0005-0000-0000-0000B52D0000}"/>
    <cellStyle name="40% - Accent5 4 2 9 2" xfId="14496" xr:uid="{00000000-0005-0000-0000-0000B62D0000}"/>
    <cellStyle name="40% - Accent5 4 2 9 2 2" xfId="14497" xr:uid="{00000000-0005-0000-0000-0000B72D0000}"/>
    <cellStyle name="40% - Accent5 4 2 9 3" xfId="14498" xr:uid="{00000000-0005-0000-0000-0000B82D0000}"/>
    <cellStyle name="40% - Accent5 4 2 9 3 2" xfId="14499" xr:uid="{00000000-0005-0000-0000-0000B92D0000}"/>
    <cellStyle name="40% - Accent5 4 2 9 4" xfId="14500" xr:uid="{00000000-0005-0000-0000-0000BA2D0000}"/>
    <cellStyle name="40% - Accent5 4 20" xfId="14501" xr:uid="{00000000-0005-0000-0000-0000BB2D0000}"/>
    <cellStyle name="40% - Accent5 4 21" xfId="14364" xr:uid="{00000000-0005-0000-0000-0000BC2D0000}"/>
    <cellStyle name="40% - Accent5 4 3" xfId="1628" xr:uid="{00000000-0005-0000-0000-0000BD2D0000}"/>
    <cellStyle name="40% - Accent5 4 3 2" xfId="4631" xr:uid="{00000000-0005-0000-0000-0000BE2D0000}"/>
    <cellStyle name="40% - Accent5 4 3 2 2" xfId="14504" xr:uid="{00000000-0005-0000-0000-0000BF2D0000}"/>
    <cellStyle name="40% - Accent5 4 3 2 3" xfId="14503" xr:uid="{00000000-0005-0000-0000-0000C02D0000}"/>
    <cellStyle name="40% - Accent5 4 3 3" xfId="14505" xr:uid="{00000000-0005-0000-0000-0000C12D0000}"/>
    <cellStyle name="40% - Accent5 4 3 3 2" xfId="14506" xr:uid="{00000000-0005-0000-0000-0000C22D0000}"/>
    <cellStyle name="40% - Accent5 4 3 4" xfId="14507" xr:uid="{00000000-0005-0000-0000-0000C32D0000}"/>
    <cellStyle name="40% - Accent5 4 3 4 2" xfId="14508" xr:uid="{00000000-0005-0000-0000-0000C42D0000}"/>
    <cellStyle name="40% - Accent5 4 3 5" xfId="14509" xr:uid="{00000000-0005-0000-0000-0000C52D0000}"/>
    <cellStyle name="40% - Accent5 4 3 5 2" xfId="14510" xr:uid="{00000000-0005-0000-0000-0000C62D0000}"/>
    <cellStyle name="40% - Accent5 4 3 6" xfId="14511" xr:uid="{00000000-0005-0000-0000-0000C72D0000}"/>
    <cellStyle name="40% - Accent5 4 3 7" xfId="14502" xr:uid="{00000000-0005-0000-0000-0000C82D0000}"/>
    <cellStyle name="40% - Accent5 4 4" xfId="1751" xr:uid="{00000000-0005-0000-0000-0000C92D0000}"/>
    <cellStyle name="40% - Accent5 4 4 2" xfId="14513" xr:uid="{00000000-0005-0000-0000-0000CA2D0000}"/>
    <cellStyle name="40% - Accent5 4 4 2 2" xfId="14514" xr:uid="{00000000-0005-0000-0000-0000CB2D0000}"/>
    <cellStyle name="40% - Accent5 4 4 3" xfId="14515" xr:uid="{00000000-0005-0000-0000-0000CC2D0000}"/>
    <cellStyle name="40% - Accent5 4 4 3 2" xfId="14516" xr:uid="{00000000-0005-0000-0000-0000CD2D0000}"/>
    <cellStyle name="40% - Accent5 4 4 4" xfId="14517" xr:uid="{00000000-0005-0000-0000-0000CE2D0000}"/>
    <cellStyle name="40% - Accent5 4 4 4 2" xfId="14518" xr:uid="{00000000-0005-0000-0000-0000CF2D0000}"/>
    <cellStyle name="40% - Accent5 4 4 5" xfId="14519" xr:uid="{00000000-0005-0000-0000-0000D02D0000}"/>
    <cellStyle name="40% - Accent5 4 4 6" xfId="14512" xr:uid="{00000000-0005-0000-0000-0000D12D0000}"/>
    <cellStyle name="40% - Accent5 4 5" xfId="2086" xr:uid="{00000000-0005-0000-0000-0000D22D0000}"/>
    <cellStyle name="40% - Accent5 4 5 2" xfId="14521" xr:uid="{00000000-0005-0000-0000-0000D32D0000}"/>
    <cellStyle name="40% - Accent5 4 5 2 2" xfId="14522" xr:uid="{00000000-0005-0000-0000-0000D42D0000}"/>
    <cellStyle name="40% - Accent5 4 5 3" xfId="14523" xr:uid="{00000000-0005-0000-0000-0000D52D0000}"/>
    <cellStyle name="40% - Accent5 4 5 3 2" xfId="14524" xr:uid="{00000000-0005-0000-0000-0000D62D0000}"/>
    <cellStyle name="40% - Accent5 4 5 4" xfId="14525" xr:uid="{00000000-0005-0000-0000-0000D72D0000}"/>
    <cellStyle name="40% - Accent5 4 5 4 2" xfId="14526" xr:uid="{00000000-0005-0000-0000-0000D82D0000}"/>
    <cellStyle name="40% - Accent5 4 5 5" xfId="14527" xr:uid="{00000000-0005-0000-0000-0000D92D0000}"/>
    <cellStyle name="40% - Accent5 4 5 6" xfId="14520" xr:uid="{00000000-0005-0000-0000-0000DA2D0000}"/>
    <cellStyle name="40% - Accent5 4 6" xfId="2460" xr:uid="{00000000-0005-0000-0000-0000DB2D0000}"/>
    <cellStyle name="40% - Accent5 4 6 2" xfId="14529" xr:uid="{00000000-0005-0000-0000-0000DC2D0000}"/>
    <cellStyle name="40% - Accent5 4 6 2 2" xfId="14530" xr:uid="{00000000-0005-0000-0000-0000DD2D0000}"/>
    <cellStyle name="40% - Accent5 4 6 3" xfId="14531" xr:uid="{00000000-0005-0000-0000-0000DE2D0000}"/>
    <cellStyle name="40% - Accent5 4 6 3 2" xfId="14532" xr:uid="{00000000-0005-0000-0000-0000DF2D0000}"/>
    <cellStyle name="40% - Accent5 4 6 4" xfId="14533" xr:uid="{00000000-0005-0000-0000-0000E02D0000}"/>
    <cellStyle name="40% - Accent5 4 6 4 2" xfId="14534" xr:uid="{00000000-0005-0000-0000-0000E12D0000}"/>
    <cellStyle name="40% - Accent5 4 6 5" xfId="14535" xr:uid="{00000000-0005-0000-0000-0000E22D0000}"/>
    <cellStyle name="40% - Accent5 4 6 6" xfId="14528" xr:uid="{00000000-0005-0000-0000-0000E32D0000}"/>
    <cellStyle name="40% - Accent5 4 7" xfId="2832" xr:uid="{00000000-0005-0000-0000-0000E42D0000}"/>
    <cellStyle name="40% - Accent5 4 7 2" xfId="14537" xr:uid="{00000000-0005-0000-0000-0000E52D0000}"/>
    <cellStyle name="40% - Accent5 4 7 2 2" xfId="14538" xr:uid="{00000000-0005-0000-0000-0000E62D0000}"/>
    <cellStyle name="40% - Accent5 4 7 3" xfId="14539" xr:uid="{00000000-0005-0000-0000-0000E72D0000}"/>
    <cellStyle name="40% - Accent5 4 7 3 2" xfId="14540" xr:uid="{00000000-0005-0000-0000-0000E82D0000}"/>
    <cellStyle name="40% - Accent5 4 7 4" xfId="14541" xr:uid="{00000000-0005-0000-0000-0000E92D0000}"/>
    <cellStyle name="40% - Accent5 4 7 4 2" xfId="14542" xr:uid="{00000000-0005-0000-0000-0000EA2D0000}"/>
    <cellStyle name="40% - Accent5 4 7 5" xfId="14543" xr:uid="{00000000-0005-0000-0000-0000EB2D0000}"/>
    <cellStyle name="40% - Accent5 4 7 6" xfId="14536" xr:uid="{00000000-0005-0000-0000-0000EC2D0000}"/>
    <cellStyle name="40% - Accent5 4 8" xfId="3203" xr:uid="{00000000-0005-0000-0000-0000ED2D0000}"/>
    <cellStyle name="40% - Accent5 4 8 2" xfId="14545" xr:uid="{00000000-0005-0000-0000-0000EE2D0000}"/>
    <cellStyle name="40% - Accent5 4 8 2 2" xfId="14546" xr:uid="{00000000-0005-0000-0000-0000EF2D0000}"/>
    <cellStyle name="40% - Accent5 4 8 3" xfId="14547" xr:uid="{00000000-0005-0000-0000-0000F02D0000}"/>
    <cellStyle name="40% - Accent5 4 8 3 2" xfId="14548" xr:uid="{00000000-0005-0000-0000-0000F12D0000}"/>
    <cellStyle name="40% - Accent5 4 8 4" xfId="14549" xr:uid="{00000000-0005-0000-0000-0000F22D0000}"/>
    <cellStyle name="40% - Accent5 4 8 4 2" xfId="14550" xr:uid="{00000000-0005-0000-0000-0000F32D0000}"/>
    <cellStyle name="40% - Accent5 4 8 5" xfId="14551" xr:uid="{00000000-0005-0000-0000-0000F42D0000}"/>
    <cellStyle name="40% - Accent5 4 8 6" xfId="14544" xr:uid="{00000000-0005-0000-0000-0000F52D0000}"/>
    <cellStyle name="40% - Accent5 4 9" xfId="3592" xr:uid="{00000000-0005-0000-0000-0000F62D0000}"/>
    <cellStyle name="40% - Accent5 4 9 2" xfId="4632" xr:uid="{00000000-0005-0000-0000-0000F72D0000}"/>
    <cellStyle name="40% - Accent5 4 9 2 2" xfId="14554" xr:uid="{00000000-0005-0000-0000-0000F82D0000}"/>
    <cellStyle name="40% - Accent5 4 9 2 3" xfId="14553" xr:uid="{00000000-0005-0000-0000-0000F92D0000}"/>
    <cellStyle name="40% - Accent5 4 9 3" xfId="14555" xr:uid="{00000000-0005-0000-0000-0000FA2D0000}"/>
    <cellStyle name="40% - Accent5 4 9 3 2" xfId="14556" xr:uid="{00000000-0005-0000-0000-0000FB2D0000}"/>
    <cellStyle name="40% - Accent5 4 9 4" xfId="14557" xr:uid="{00000000-0005-0000-0000-0000FC2D0000}"/>
    <cellStyle name="40% - Accent5 4 9 4 2" xfId="14558" xr:uid="{00000000-0005-0000-0000-0000FD2D0000}"/>
    <cellStyle name="40% - Accent5 4 9 5" xfId="14559" xr:uid="{00000000-0005-0000-0000-0000FE2D0000}"/>
    <cellStyle name="40% - Accent5 4 9 5 2" xfId="14560" xr:uid="{00000000-0005-0000-0000-0000FF2D0000}"/>
    <cellStyle name="40% - Accent5 4 9 6" xfId="14561" xr:uid="{00000000-0005-0000-0000-0000002E0000}"/>
    <cellStyle name="40% - Accent5 4 9 7" xfId="14552" xr:uid="{00000000-0005-0000-0000-0000012E0000}"/>
    <cellStyle name="40% - Accent5 5" xfId="399" xr:uid="{00000000-0005-0000-0000-0000022E0000}"/>
    <cellStyle name="40% - Accent5 5 10" xfId="14563" xr:uid="{00000000-0005-0000-0000-0000032E0000}"/>
    <cellStyle name="40% - Accent5 5 10 2" xfId="14564" xr:uid="{00000000-0005-0000-0000-0000042E0000}"/>
    <cellStyle name="40% - Accent5 5 10 2 2" xfId="14565" xr:uid="{00000000-0005-0000-0000-0000052E0000}"/>
    <cellStyle name="40% - Accent5 5 10 3" xfId="14566" xr:uid="{00000000-0005-0000-0000-0000062E0000}"/>
    <cellStyle name="40% - Accent5 5 10 3 2" xfId="14567" xr:uid="{00000000-0005-0000-0000-0000072E0000}"/>
    <cellStyle name="40% - Accent5 5 10 4" xfId="14568" xr:uid="{00000000-0005-0000-0000-0000082E0000}"/>
    <cellStyle name="40% - Accent5 5 11" xfId="14569" xr:uid="{00000000-0005-0000-0000-0000092E0000}"/>
    <cellStyle name="40% - Accent5 5 11 2" xfId="14570" xr:uid="{00000000-0005-0000-0000-00000A2E0000}"/>
    <cellStyle name="40% - Accent5 5 11 2 2" xfId="14571" xr:uid="{00000000-0005-0000-0000-00000B2E0000}"/>
    <cellStyle name="40% - Accent5 5 11 3" xfId="14572" xr:uid="{00000000-0005-0000-0000-00000C2E0000}"/>
    <cellStyle name="40% - Accent5 5 11 3 2" xfId="14573" xr:uid="{00000000-0005-0000-0000-00000D2E0000}"/>
    <cellStyle name="40% - Accent5 5 11 4" xfId="14574" xr:uid="{00000000-0005-0000-0000-00000E2E0000}"/>
    <cellStyle name="40% - Accent5 5 12" xfId="14575" xr:uid="{00000000-0005-0000-0000-00000F2E0000}"/>
    <cellStyle name="40% - Accent5 5 12 2" xfId="14576" xr:uid="{00000000-0005-0000-0000-0000102E0000}"/>
    <cellStyle name="40% - Accent5 5 12 2 2" xfId="14577" xr:uid="{00000000-0005-0000-0000-0000112E0000}"/>
    <cellStyle name="40% - Accent5 5 12 3" xfId="14578" xr:uid="{00000000-0005-0000-0000-0000122E0000}"/>
    <cellStyle name="40% - Accent5 5 12 3 2" xfId="14579" xr:uid="{00000000-0005-0000-0000-0000132E0000}"/>
    <cellStyle name="40% - Accent5 5 12 4" xfId="14580" xr:uid="{00000000-0005-0000-0000-0000142E0000}"/>
    <cellStyle name="40% - Accent5 5 13" xfId="14581" xr:uid="{00000000-0005-0000-0000-0000152E0000}"/>
    <cellStyle name="40% - Accent5 5 13 2" xfId="14582" xr:uid="{00000000-0005-0000-0000-0000162E0000}"/>
    <cellStyle name="40% - Accent5 5 13 2 2" xfId="14583" xr:uid="{00000000-0005-0000-0000-0000172E0000}"/>
    <cellStyle name="40% - Accent5 5 13 3" xfId="14584" xr:uid="{00000000-0005-0000-0000-0000182E0000}"/>
    <cellStyle name="40% - Accent5 5 13 3 2" xfId="14585" xr:uid="{00000000-0005-0000-0000-0000192E0000}"/>
    <cellStyle name="40% - Accent5 5 13 4" xfId="14586" xr:uid="{00000000-0005-0000-0000-00001A2E0000}"/>
    <cellStyle name="40% - Accent5 5 14" xfId="14587" xr:uid="{00000000-0005-0000-0000-00001B2E0000}"/>
    <cellStyle name="40% - Accent5 5 14 2" xfId="14588" xr:uid="{00000000-0005-0000-0000-00001C2E0000}"/>
    <cellStyle name="40% - Accent5 5 15" xfId="14589" xr:uid="{00000000-0005-0000-0000-00001D2E0000}"/>
    <cellStyle name="40% - Accent5 5 15 2" xfId="14590" xr:uid="{00000000-0005-0000-0000-00001E2E0000}"/>
    <cellStyle name="40% - Accent5 5 16" xfId="14591" xr:uid="{00000000-0005-0000-0000-00001F2E0000}"/>
    <cellStyle name="40% - Accent5 5 16 2" xfId="14592" xr:uid="{00000000-0005-0000-0000-0000202E0000}"/>
    <cellStyle name="40% - Accent5 5 17" xfId="14593" xr:uid="{00000000-0005-0000-0000-0000212E0000}"/>
    <cellStyle name="40% - Accent5 5 17 2" xfId="14594" xr:uid="{00000000-0005-0000-0000-0000222E0000}"/>
    <cellStyle name="40% - Accent5 5 18" xfId="14595" xr:uid="{00000000-0005-0000-0000-0000232E0000}"/>
    <cellStyle name="40% - Accent5 5 19" xfId="14562" xr:uid="{00000000-0005-0000-0000-0000242E0000}"/>
    <cellStyle name="40% - Accent5 5 2" xfId="1875" xr:uid="{00000000-0005-0000-0000-0000252E0000}"/>
    <cellStyle name="40% - Accent5 5 2 10" xfId="14597" xr:uid="{00000000-0005-0000-0000-0000262E0000}"/>
    <cellStyle name="40% - Accent5 5 2 10 2" xfId="14598" xr:uid="{00000000-0005-0000-0000-0000272E0000}"/>
    <cellStyle name="40% - Accent5 5 2 10 2 2" xfId="14599" xr:uid="{00000000-0005-0000-0000-0000282E0000}"/>
    <cellStyle name="40% - Accent5 5 2 10 3" xfId="14600" xr:uid="{00000000-0005-0000-0000-0000292E0000}"/>
    <cellStyle name="40% - Accent5 5 2 10 3 2" xfId="14601" xr:uid="{00000000-0005-0000-0000-00002A2E0000}"/>
    <cellStyle name="40% - Accent5 5 2 10 4" xfId="14602" xr:uid="{00000000-0005-0000-0000-00002B2E0000}"/>
    <cellStyle name="40% - Accent5 5 2 11" xfId="14603" xr:uid="{00000000-0005-0000-0000-00002C2E0000}"/>
    <cellStyle name="40% - Accent5 5 2 11 2" xfId="14604" xr:uid="{00000000-0005-0000-0000-00002D2E0000}"/>
    <cellStyle name="40% - Accent5 5 2 11 2 2" xfId="14605" xr:uid="{00000000-0005-0000-0000-00002E2E0000}"/>
    <cellStyle name="40% - Accent5 5 2 11 3" xfId="14606" xr:uid="{00000000-0005-0000-0000-00002F2E0000}"/>
    <cellStyle name="40% - Accent5 5 2 11 3 2" xfId="14607" xr:uid="{00000000-0005-0000-0000-0000302E0000}"/>
    <cellStyle name="40% - Accent5 5 2 11 4" xfId="14608" xr:uid="{00000000-0005-0000-0000-0000312E0000}"/>
    <cellStyle name="40% - Accent5 5 2 12" xfId="14609" xr:uid="{00000000-0005-0000-0000-0000322E0000}"/>
    <cellStyle name="40% - Accent5 5 2 12 2" xfId="14610" xr:uid="{00000000-0005-0000-0000-0000332E0000}"/>
    <cellStyle name="40% - Accent5 5 2 12 2 2" xfId="14611" xr:uid="{00000000-0005-0000-0000-0000342E0000}"/>
    <cellStyle name="40% - Accent5 5 2 12 3" xfId="14612" xr:uid="{00000000-0005-0000-0000-0000352E0000}"/>
    <cellStyle name="40% - Accent5 5 2 12 3 2" xfId="14613" xr:uid="{00000000-0005-0000-0000-0000362E0000}"/>
    <cellStyle name="40% - Accent5 5 2 12 4" xfId="14614" xr:uid="{00000000-0005-0000-0000-0000372E0000}"/>
    <cellStyle name="40% - Accent5 5 2 13" xfId="14615" xr:uid="{00000000-0005-0000-0000-0000382E0000}"/>
    <cellStyle name="40% - Accent5 5 2 13 2" xfId="14616" xr:uid="{00000000-0005-0000-0000-0000392E0000}"/>
    <cellStyle name="40% - Accent5 5 2 14" xfId="14617" xr:uid="{00000000-0005-0000-0000-00003A2E0000}"/>
    <cellStyle name="40% - Accent5 5 2 14 2" xfId="14618" xr:uid="{00000000-0005-0000-0000-00003B2E0000}"/>
    <cellStyle name="40% - Accent5 5 2 15" xfId="14619" xr:uid="{00000000-0005-0000-0000-00003C2E0000}"/>
    <cellStyle name="40% - Accent5 5 2 15 2" xfId="14620" xr:uid="{00000000-0005-0000-0000-00003D2E0000}"/>
    <cellStyle name="40% - Accent5 5 2 16" xfId="14621" xr:uid="{00000000-0005-0000-0000-00003E2E0000}"/>
    <cellStyle name="40% - Accent5 5 2 17" xfId="14596" xr:uid="{00000000-0005-0000-0000-00003F2E0000}"/>
    <cellStyle name="40% - Accent5 5 2 2" xfId="14622" xr:uid="{00000000-0005-0000-0000-0000402E0000}"/>
    <cellStyle name="40% - Accent5 5 2 2 2" xfId="14623" xr:uid="{00000000-0005-0000-0000-0000412E0000}"/>
    <cellStyle name="40% - Accent5 5 2 2 2 2" xfId="14624" xr:uid="{00000000-0005-0000-0000-0000422E0000}"/>
    <cellStyle name="40% - Accent5 5 2 2 3" xfId="14625" xr:uid="{00000000-0005-0000-0000-0000432E0000}"/>
    <cellStyle name="40% - Accent5 5 2 2 3 2" xfId="14626" xr:uid="{00000000-0005-0000-0000-0000442E0000}"/>
    <cellStyle name="40% - Accent5 5 2 2 4" xfId="14627" xr:uid="{00000000-0005-0000-0000-0000452E0000}"/>
    <cellStyle name="40% - Accent5 5 2 3" xfId="14628" xr:uid="{00000000-0005-0000-0000-0000462E0000}"/>
    <cellStyle name="40% - Accent5 5 2 3 2" xfId="14629" xr:uid="{00000000-0005-0000-0000-0000472E0000}"/>
    <cellStyle name="40% - Accent5 5 2 3 2 2" xfId="14630" xr:uid="{00000000-0005-0000-0000-0000482E0000}"/>
    <cellStyle name="40% - Accent5 5 2 3 3" xfId="14631" xr:uid="{00000000-0005-0000-0000-0000492E0000}"/>
    <cellStyle name="40% - Accent5 5 2 3 3 2" xfId="14632" xr:uid="{00000000-0005-0000-0000-00004A2E0000}"/>
    <cellStyle name="40% - Accent5 5 2 3 4" xfId="14633" xr:uid="{00000000-0005-0000-0000-00004B2E0000}"/>
    <cellStyle name="40% - Accent5 5 2 4" xfId="14634" xr:uid="{00000000-0005-0000-0000-00004C2E0000}"/>
    <cellStyle name="40% - Accent5 5 2 4 2" xfId="14635" xr:uid="{00000000-0005-0000-0000-00004D2E0000}"/>
    <cellStyle name="40% - Accent5 5 2 4 2 2" xfId="14636" xr:uid="{00000000-0005-0000-0000-00004E2E0000}"/>
    <cellStyle name="40% - Accent5 5 2 4 3" xfId="14637" xr:uid="{00000000-0005-0000-0000-00004F2E0000}"/>
    <cellStyle name="40% - Accent5 5 2 4 3 2" xfId="14638" xr:uid="{00000000-0005-0000-0000-0000502E0000}"/>
    <cellStyle name="40% - Accent5 5 2 4 4" xfId="14639" xr:uid="{00000000-0005-0000-0000-0000512E0000}"/>
    <cellStyle name="40% - Accent5 5 2 5" xfId="14640" xr:uid="{00000000-0005-0000-0000-0000522E0000}"/>
    <cellStyle name="40% - Accent5 5 2 5 2" xfId="14641" xr:uid="{00000000-0005-0000-0000-0000532E0000}"/>
    <cellStyle name="40% - Accent5 5 2 5 2 2" xfId="14642" xr:uid="{00000000-0005-0000-0000-0000542E0000}"/>
    <cellStyle name="40% - Accent5 5 2 5 3" xfId="14643" xr:uid="{00000000-0005-0000-0000-0000552E0000}"/>
    <cellStyle name="40% - Accent5 5 2 5 3 2" xfId="14644" xr:uid="{00000000-0005-0000-0000-0000562E0000}"/>
    <cellStyle name="40% - Accent5 5 2 5 4" xfId="14645" xr:uid="{00000000-0005-0000-0000-0000572E0000}"/>
    <cellStyle name="40% - Accent5 5 2 6" xfId="14646" xr:uid="{00000000-0005-0000-0000-0000582E0000}"/>
    <cellStyle name="40% - Accent5 5 2 6 2" xfId="14647" xr:uid="{00000000-0005-0000-0000-0000592E0000}"/>
    <cellStyle name="40% - Accent5 5 2 6 2 2" xfId="14648" xr:uid="{00000000-0005-0000-0000-00005A2E0000}"/>
    <cellStyle name="40% - Accent5 5 2 6 3" xfId="14649" xr:uid="{00000000-0005-0000-0000-00005B2E0000}"/>
    <cellStyle name="40% - Accent5 5 2 6 3 2" xfId="14650" xr:uid="{00000000-0005-0000-0000-00005C2E0000}"/>
    <cellStyle name="40% - Accent5 5 2 6 4" xfId="14651" xr:uid="{00000000-0005-0000-0000-00005D2E0000}"/>
    <cellStyle name="40% - Accent5 5 2 7" xfId="14652" xr:uid="{00000000-0005-0000-0000-00005E2E0000}"/>
    <cellStyle name="40% - Accent5 5 2 7 2" xfId="14653" xr:uid="{00000000-0005-0000-0000-00005F2E0000}"/>
    <cellStyle name="40% - Accent5 5 2 7 2 2" xfId="14654" xr:uid="{00000000-0005-0000-0000-0000602E0000}"/>
    <cellStyle name="40% - Accent5 5 2 7 3" xfId="14655" xr:uid="{00000000-0005-0000-0000-0000612E0000}"/>
    <cellStyle name="40% - Accent5 5 2 7 3 2" xfId="14656" xr:uid="{00000000-0005-0000-0000-0000622E0000}"/>
    <cellStyle name="40% - Accent5 5 2 7 4" xfId="14657" xr:uid="{00000000-0005-0000-0000-0000632E0000}"/>
    <cellStyle name="40% - Accent5 5 2 8" xfId="14658" xr:uid="{00000000-0005-0000-0000-0000642E0000}"/>
    <cellStyle name="40% - Accent5 5 2 8 2" xfId="14659" xr:uid="{00000000-0005-0000-0000-0000652E0000}"/>
    <cellStyle name="40% - Accent5 5 2 8 2 2" xfId="14660" xr:uid="{00000000-0005-0000-0000-0000662E0000}"/>
    <cellStyle name="40% - Accent5 5 2 8 3" xfId="14661" xr:uid="{00000000-0005-0000-0000-0000672E0000}"/>
    <cellStyle name="40% - Accent5 5 2 8 3 2" xfId="14662" xr:uid="{00000000-0005-0000-0000-0000682E0000}"/>
    <cellStyle name="40% - Accent5 5 2 8 4" xfId="14663" xr:uid="{00000000-0005-0000-0000-0000692E0000}"/>
    <cellStyle name="40% - Accent5 5 2 9" xfId="14664" xr:uid="{00000000-0005-0000-0000-00006A2E0000}"/>
    <cellStyle name="40% - Accent5 5 2 9 2" xfId="14665" xr:uid="{00000000-0005-0000-0000-00006B2E0000}"/>
    <cellStyle name="40% - Accent5 5 2 9 2 2" xfId="14666" xr:uid="{00000000-0005-0000-0000-00006C2E0000}"/>
    <cellStyle name="40% - Accent5 5 2 9 3" xfId="14667" xr:uid="{00000000-0005-0000-0000-00006D2E0000}"/>
    <cellStyle name="40% - Accent5 5 2 9 3 2" xfId="14668" xr:uid="{00000000-0005-0000-0000-00006E2E0000}"/>
    <cellStyle name="40% - Accent5 5 2 9 4" xfId="14669" xr:uid="{00000000-0005-0000-0000-00006F2E0000}"/>
    <cellStyle name="40% - Accent5 5 3" xfId="2250" xr:uid="{00000000-0005-0000-0000-0000702E0000}"/>
    <cellStyle name="40% - Accent5 5 3 2" xfId="14671" xr:uid="{00000000-0005-0000-0000-0000712E0000}"/>
    <cellStyle name="40% - Accent5 5 3 2 2" xfId="14672" xr:uid="{00000000-0005-0000-0000-0000722E0000}"/>
    <cellStyle name="40% - Accent5 5 3 3" xfId="14673" xr:uid="{00000000-0005-0000-0000-0000732E0000}"/>
    <cellStyle name="40% - Accent5 5 3 3 2" xfId="14674" xr:uid="{00000000-0005-0000-0000-0000742E0000}"/>
    <cellStyle name="40% - Accent5 5 3 4" xfId="14675" xr:uid="{00000000-0005-0000-0000-0000752E0000}"/>
    <cellStyle name="40% - Accent5 5 3 4 2" xfId="14676" xr:uid="{00000000-0005-0000-0000-0000762E0000}"/>
    <cellStyle name="40% - Accent5 5 3 5" xfId="14677" xr:uid="{00000000-0005-0000-0000-0000772E0000}"/>
    <cellStyle name="40% - Accent5 5 3 6" xfId="14670" xr:uid="{00000000-0005-0000-0000-0000782E0000}"/>
    <cellStyle name="40% - Accent5 5 4" xfId="2624" xr:uid="{00000000-0005-0000-0000-0000792E0000}"/>
    <cellStyle name="40% - Accent5 5 4 2" xfId="14679" xr:uid="{00000000-0005-0000-0000-00007A2E0000}"/>
    <cellStyle name="40% - Accent5 5 4 2 2" xfId="14680" xr:uid="{00000000-0005-0000-0000-00007B2E0000}"/>
    <cellStyle name="40% - Accent5 5 4 3" xfId="14681" xr:uid="{00000000-0005-0000-0000-00007C2E0000}"/>
    <cellStyle name="40% - Accent5 5 4 3 2" xfId="14682" xr:uid="{00000000-0005-0000-0000-00007D2E0000}"/>
    <cellStyle name="40% - Accent5 5 4 4" xfId="14683" xr:uid="{00000000-0005-0000-0000-00007E2E0000}"/>
    <cellStyle name="40% - Accent5 5 4 4 2" xfId="14684" xr:uid="{00000000-0005-0000-0000-00007F2E0000}"/>
    <cellStyle name="40% - Accent5 5 4 5" xfId="14685" xr:uid="{00000000-0005-0000-0000-0000802E0000}"/>
    <cellStyle name="40% - Accent5 5 4 6" xfId="14678" xr:uid="{00000000-0005-0000-0000-0000812E0000}"/>
    <cellStyle name="40% - Accent5 5 5" xfId="2996" xr:uid="{00000000-0005-0000-0000-0000822E0000}"/>
    <cellStyle name="40% - Accent5 5 5 2" xfId="14687" xr:uid="{00000000-0005-0000-0000-0000832E0000}"/>
    <cellStyle name="40% - Accent5 5 5 2 2" xfId="14688" xr:uid="{00000000-0005-0000-0000-0000842E0000}"/>
    <cellStyle name="40% - Accent5 5 5 3" xfId="14689" xr:uid="{00000000-0005-0000-0000-0000852E0000}"/>
    <cellStyle name="40% - Accent5 5 5 3 2" xfId="14690" xr:uid="{00000000-0005-0000-0000-0000862E0000}"/>
    <cellStyle name="40% - Accent5 5 5 4" xfId="14691" xr:uid="{00000000-0005-0000-0000-0000872E0000}"/>
    <cellStyle name="40% - Accent5 5 5 4 2" xfId="14692" xr:uid="{00000000-0005-0000-0000-0000882E0000}"/>
    <cellStyle name="40% - Accent5 5 5 5" xfId="14693" xr:uid="{00000000-0005-0000-0000-0000892E0000}"/>
    <cellStyle name="40% - Accent5 5 5 6" xfId="14686" xr:uid="{00000000-0005-0000-0000-00008A2E0000}"/>
    <cellStyle name="40% - Accent5 5 6" xfId="3368" xr:uid="{00000000-0005-0000-0000-00008B2E0000}"/>
    <cellStyle name="40% - Accent5 5 6 2" xfId="14695" xr:uid="{00000000-0005-0000-0000-00008C2E0000}"/>
    <cellStyle name="40% - Accent5 5 6 2 2" xfId="14696" xr:uid="{00000000-0005-0000-0000-00008D2E0000}"/>
    <cellStyle name="40% - Accent5 5 6 3" xfId="14697" xr:uid="{00000000-0005-0000-0000-00008E2E0000}"/>
    <cellStyle name="40% - Accent5 5 6 3 2" xfId="14698" xr:uid="{00000000-0005-0000-0000-00008F2E0000}"/>
    <cellStyle name="40% - Accent5 5 6 4" xfId="14699" xr:uid="{00000000-0005-0000-0000-0000902E0000}"/>
    <cellStyle name="40% - Accent5 5 6 4 2" xfId="14700" xr:uid="{00000000-0005-0000-0000-0000912E0000}"/>
    <cellStyle name="40% - Accent5 5 6 5" xfId="14701" xr:uid="{00000000-0005-0000-0000-0000922E0000}"/>
    <cellStyle name="40% - Accent5 5 6 6" xfId="14694" xr:uid="{00000000-0005-0000-0000-0000932E0000}"/>
    <cellStyle name="40% - Accent5 5 7" xfId="4633" xr:uid="{00000000-0005-0000-0000-0000942E0000}"/>
    <cellStyle name="40% - Accent5 5 7 2" xfId="14703" xr:uid="{00000000-0005-0000-0000-0000952E0000}"/>
    <cellStyle name="40% - Accent5 5 7 2 2" xfId="14704" xr:uid="{00000000-0005-0000-0000-0000962E0000}"/>
    <cellStyle name="40% - Accent5 5 7 3" xfId="14705" xr:uid="{00000000-0005-0000-0000-0000972E0000}"/>
    <cellStyle name="40% - Accent5 5 7 3 2" xfId="14706" xr:uid="{00000000-0005-0000-0000-0000982E0000}"/>
    <cellStyle name="40% - Accent5 5 7 4" xfId="14707" xr:uid="{00000000-0005-0000-0000-0000992E0000}"/>
    <cellStyle name="40% - Accent5 5 7 5" xfId="14702" xr:uid="{00000000-0005-0000-0000-00009A2E0000}"/>
    <cellStyle name="40% - Accent5 5 8" xfId="14708" xr:uid="{00000000-0005-0000-0000-00009B2E0000}"/>
    <cellStyle name="40% - Accent5 5 8 2" xfId="14709" xr:uid="{00000000-0005-0000-0000-00009C2E0000}"/>
    <cellStyle name="40% - Accent5 5 8 2 2" xfId="14710" xr:uid="{00000000-0005-0000-0000-00009D2E0000}"/>
    <cellStyle name="40% - Accent5 5 8 3" xfId="14711" xr:uid="{00000000-0005-0000-0000-00009E2E0000}"/>
    <cellStyle name="40% - Accent5 5 8 3 2" xfId="14712" xr:uid="{00000000-0005-0000-0000-00009F2E0000}"/>
    <cellStyle name="40% - Accent5 5 8 4" xfId="14713" xr:uid="{00000000-0005-0000-0000-0000A02E0000}"/>
    <cellStyle name="40% - Accent5 5 9" xfId="14714" xr:uid="{00000000-0005-0000-0000-0000A12E0000}"/>
    <cellStyle name="40% - Accent5 5 9 2" xfId="14715" xr:uid="{00000000-0005-0000-0000-0000A22E0000}"/>
    <cellStyle name="40% - Accent5 5 9 2 2" xfId="14716" xr:uid="{00000000-0005-0000-0000-0000A32E0000}"/>
    <cellStyle name="40% - Accent5 5 9 3" xfId="14717" xr:uid="{00000000-0005-0000-0000-0000A42E0000}"/>
    <cellStyle name="40% - Accent5 5 9 3 2" xfId="14718" xr:uid="{00000000-0005-0000-0000-0000A52E0000}"/>
    <cellStyle name="40% - Accent5 5 9 4" xfId="14719" xr:uid="{00000000-0005-0000-0000-0000A62E0000}"/>
    <cellStyle name="40% - Accent5 6" xfId="400" xr:uid="{00000000-0005-0000-0000-0000A72E0000}"/>
    <cellStyle name="40% - Accent5 6 10" xfId="5428" xr:uid="{00000000-0005-0000-0000-0000A82E0000}"/>
    <cellStyle name="40% - Accent5 6 10 2" xfId="6421" xr:uid="{00000000-0005-0000-0000-0000A92E0000}"/>
    <cellStyle name="40% - Accent5 6 10 2 2" xfId="14723" xr:uid="{00000000-0005-0000-0000-0000AA2E0000}"/>
    <cellStyle name="40% - Accent5 6 10 2 3" xfId="14722" xr:uid="{00000000-0005-0000-0000-0000AB2E0000}"/>
    <cellStyle name="40% - Accent5 6 10 2 4" xfId="26599" xr:uid="{00000000-0005-0000-0000-0000AC2E0000}"/>
    <cellStyle name="40% - Accent5 6 10 3" xfId="14724" xr:uid="{00000000-0005-0000-0000-0000AD2E0000}"/>
    <cellStyle name="40% - Accent5 6 10 3 2" xfId="14725" xr:uid="{00000000-0005-0000-0000-0000AE2E0000}"/>
    <cellStyle name="40% - Accent5 6 10 4" xfId="14726" xr:uid="{00000000-0005-0000-0000-0000AF2E0000}"/>
    <cellStyle name="40% - Accent5 6 10 5" xfId="14721" xr:uid="{00000000-0005-0000-0000-0000B02E0000}"/>
    <cellStyle name="40% - Accent5 6 10 6" xfId="26598" xr:uid="{00000000-0005-0000-0000-0000B12E0000}"/>
    <cellStyle name="40% - Accent5 6 11" xfId="5738" xr:uid="{00000000-0005-0000-0000-0000B22E0000}"/>
    <cellStyle name="40% - Accent5 6 11 2" xfId="6422" xr:uid="{00000000-0005-0000-0000-0000B32E0000}"/>
    <cellStyle name="40% - Accent5 6 11 2 2" xfId="14729" xr:uid="{00000000-0005-0000-0000-0000B42E0000}"/>
    <cellStyle name="40% - Accent5 6 11 2 3" xfId="14728" xr:uid="{00000000-0005-0000-0000-0000B52E0000}"/>
    <cellStyle name="40% - Accent5 6 11 2 4" xfId="26601" xr:uid="{00000000-0005-0000-0000-0000B62E0000}"/>
    <cellStyle name="40% - Accent5 6 11 3" xfId="14730" xr:uid="{00000000-0005-0000-0000-0000B72E0000}"/>
    <cellStyle name="40% - Accent5 6 11 3 2" xfId="14731" xr:uid="{00000000-0005-0000-0000-0000B82E0000}"/>
    <cellStyle name="40% - Accent5 6 11 4" xfId="14732" xr:uid="{00000000-0005-0000-0000-0000B92E0000}"/>
    <cellStyle name="40% - Accent5 6 11 5" xfId="14727" xr:uid="{00000000-0005-0000-0000-0000BA2E0000}"/>
    <cellStyle name="40% - Accent5 6 11 6" xfId="26600" xr:uid="{00000000-0005-0000-0000-0000BB2E0000}"/>
    <cellStyle name="40% - Accent5 6 12" xfId="4634" xr:uid="{00000000-0005-0000-0000-0000BC2E0000}"/>
    <cellStyle name="40% - Accent5 6 12 2" xfId="6423" xr:uid="{00000000-0005-0000-0000-0000BD2E0000}"/>
    <cellStyle name="40% - Accent5 6 12 2 2" xfId="14735" xr:uid="{00000000-0005-0000-0000-0000BE2E0000}"/>
    <cellStyle name="40% - Accent5 6 12 2 3" xfId="14734" xr:uid="{00000000-0005-0000-0000-0000BF2E0000}"/>
    <cellStyle name="40% - Accent5 6 12 2 4" xfId="26603" xr:uid="{00000000-0005-0000-0000-0000C02E0000}"/>
    <cellStyle name="40% - Accent5 6 12 3" xfId="14736" xr:uid="{00000000-0005-0000-0000-0000C12E0000}"/>
    <cellStyle name="40% - Accent5 6 12 3 2" xfId="14737" xr:uid="{00000000-0005-0000-0000-0000C22E0000}"/>
    <cellStyle name="40% - Accent5 6 12 4" xfId="14738" xr:uid="{00000000-0005-0000-0000-0000C32E0000}"/>
    <cellStyle name="40% - Accent5 6 12 5" xfId="14733" xr:uid="{00000000-0005-0000-0000-0000C42E0000}"/>
    <cellStyle name="40% - Accent5 6 12 6" xfId="26602" xr:uid="{00000000-0005-0000-0000-0000C52E0000}"/>
    <cellStyle name="40% - Accent5 6 13" xfId="6420" xr:uid="{00000000-0005-0000-0000-0000C62E0000}"/>
    <cellStyle name="40% - Accent5 6 13 2" xfId="14740" xr:uid="{00000000-0005-0000-0000-0000C72E0000}"/>
    <cellStyle name="40% - Accent5 6 13 3" xfId="14739" xr:uid="{00000000-0005-0000-0000-0000C82E0000}"/>
    <cellStyle name="40% - Accent5 6 13 4" xfId="26604" xr:uid="{00000000-0005-0000-0000-0000C92E0000}"/>
    <cellStyle name="40% - Accent5 6 14" xfId="14741" xr:uid="{00000000-0005-0000-0000-0000CA2E0000}"/>
    <cellStyle name="40% - Accent5 6 14 2" xfId="14742" xr:uid="{00000000-0005-0000-0000-0000CB2E0000}"/>
    <cellStyle name="40% - Accent5 6 15" xfId="14743" xr:uid="{00000000-0005-0000-0000-0000CC2E0000}"/>
    <cellStyle name="40% - Accent5 6 15 2" xfId="14744" xr:uid="{00000000-0005-0000-0000-0000CD2E0000}"/>
    <cellStyle name="40% - Accent5 6 16" xfId="14745" xr:uid="{00000000-0005-0000-0000-0000CE2E0000}"/>
    <cellStyle name="40% - Accent5 6 16 2" xfId="14746" xr:uid="{00000000-0005-0000-0000-0000CF2E0000}"/>
    <cellStyle name="40% - Accent5 6 16 2 2" xfId="14747" xr:uid="{00000000-0005-0000-0000-0000D02E0000}"/>
    <cellStyle name="40% - Accent5 6 16 3" xfId="14748" xr:uid="{00000000-0005-0000-0000-0000D12E0000}"/>
    <cellStyle name="40% - Accent5 6 16 3 2" xfId="14749" xr:uid="{00000000-0005-0000-0000-0000D22E0000}"/>
    <cellStyle name="40% - Accent5 6 16 4" xfId="14750" xr:uid="{00000000-0005-0000-0000-0000D32E0000}"/>
    <cellStyle name="40% - Accent5 6 17" xfId="14751" xr:uid="{00000000-0005-0000-0000-0000D42E0000}"/>
    <cellStyle name="40% - Accent5 6 17 2" xfId="14752" xr:uid="{00000000-0005-0000-0000-0000D52E0000}"/>
    <cellStyle name="40% - Accent5 6 18" xfId="14753" xr:uid="{00000000-0005-0000-0000-0000D62E0000}"/>
    <cellStyle name="40% - Accent5 6 18 2" xfId="14754" xr:uid="{00000000-0005-0000-0000-0000D72E0000}"/>
    <cellStyle name="40% - Accent5 6 19" xfId="14755" xr:uid="{00000000-0005-0000-0000-0000D82E0000}"/>
    <cellStyle name="40% - Accent5 6 2" xfId="1979" xr:uid="{00000000-0005-0000-0000-0000D92E0000}"/>
    <cellStyle name="40% - Accent5 6 2 2" xfId="4635" xr:uid="{00000000-0005-0000-0000-0000DA2E0000}"/>
    <cellStyle name="40% - Accent5 6 2 2 2" xfId="14758" xr:uid="{00000000-0005-0000-0000-0000DB2E0000}"/>
    <cellStyle name="40% - Accent5 6 2 2 3" xfId="14757" xr:uid="{00000000-0005-0000-0000-0000DC2E0000}"/>
    <cellStyle name="40% - Accent5 6 2 3" xfId="14759" xr:uid="{00000000-0005-0000-0000-0000DD2E0000}"/>
    <cellStyle name="40% - Accent5 6 2 3 2" xfId="14760" xr:uid="{00000000-0005-0000-0000-0000DE2E0000}"/>
    <cellStyle name="40% - Accent5 6 2 4" xfId="14761" xr:uid="{00000000-0005-0000-0000-0000DF2E0000}"/>
    <cellStyle name="40% - Accent5 6 2 4 2" xfId="14762" xr:uid="{00000000-0005-0000-0000-0000E02E0000}"/>
    <cellStyle name="40% - Accent5 6 2 5" xfId="14763" xr:uid="{00000000-0005-0000-0000-0000E12E0000}"/>
    <cellStyle name="40% - Accent5 6 2 5 2" xfId="14764" xr:uid="{00000000-0005-0000-0000-0000E22E0000}"/>
    <cellStyle name="40% - Accent5 6 2 6" xfId="14765" xr:uid="{00000000-0005-0000-0000-0000E32E0000}"/>
    <cellStyle name="40% - Accent5 6 2 7" xfId="14756" xr:uid="{00000000-0005-0000-0000-0000E42E0000}"/>
    <cellStyle name="40% - Accent5 6 20" xfId="14720" xr:uid="{00000000-0005-0000-0000-0000E52E0000}"/>
    <cellStyle name="40% - Accent5 6 21" xfId="24841" xr:uid="{00000000-0005-0000-0000-0000E62E0000}"/>
    <cellStyle name="40% - Accent5 6 22" xfId="26597" xr:uid="{00000000-0005-0000-0000-0000E72E0000}"/>
    <cellStyle name="40% - Accent5 6 3" xfId="2354" xr:uid="{00000000-0005-0000-0000-0000E82E0000}"/>
    <cellStyle name="40% - Accent5 6 3 2" xfId="4636" xr:uid="{00000000-0005-0000-0000-0000E92E0000}"/>
    <cellStyle name="40% - Accent5 6 3 2 2" xfId="14768" xr:uid="{00000000-0005-0000-0000-0000EA2E0000}"/>
    <cellStyle name="40% - Accent5 6 3 2 3" xfId="14767" xr:uid="{00000000-0005-0000-0000-0000EB2E0000}"/>
    <cellStyle name="40% - Accent5 6 3 3" xfId="14769" xr:uid="{00000000-0005-0000-0000-0000EC2E0000}"/>
    <cellStyle name="40% - Accent5 6 3 3 2" xfId="14770" xr:uid="{00000000-0005-0000-0000-0000ED2E0000}"/>
    <cellStyle name="40% - Accent5 6 3 4" xfId="14771" xr:uid="{00000000-0005-0000-0000-0000EE2E0000}"/>
    <cellStyle name="40% - Accent5 6 3 4 2" xfId="14772" xr:uid="{00000000-0005-0000-0000-0000EF2E0000}"/>
    <cellStyle name="40% - Accent5 6 3 5" xfId="14773" xr:uid="{00000000-0005-0000-0000-0000F02E0000}"/>
    <cellStyle name="40% - Accent5 6 3 5 2" xfId="14774" xr:uid="{00000000-0005-0000-0000-0000F12E0000}"/>
    <cellStyle name="40% - Accent5 6 3 6" xfId="14775" xr:uid="{00000000-0005-0000-0000-0000F22E0000}"/>
    <cellStyle name="40% - Accent5 6 3 7" xfId="14766" xr:uid="{00000000-0005-0000-0000-0000F32E0000}"/>
    <cellStyle name="40% - Accent5 6 4" xfId="2727" xr:uid="{00000000-0005-0000-0000-0000F42E0000}"/>
    <cellStyle name="40% - Accent5 6 4 2" xfId="4637" xr:uid="{00000000-0005-0000-0000-0000F52E0000}"/>
    <cellStyle name="40% - Accent5 6 4 2 2" xfId="14778" xr:uid="{00000000-0005-0000-0000-0000F62E0000}"/>
    <cellStyle name="40% - Accent5 6 4 2 3" xfId="14777" xr:uid="{00000000-0005-0000-0000-0000F72E0000}"/>
    <cellStyle name="40% - Accent5 6 4 3" xfId="14779" xr:uid="{00000000-0005-0000-0000-0000F82E0000}"/>
    <cellStyle name="40% - Accent5 6 4 3 2" xfId="14780" xr:uid="{00000000-0005-0000-0000-0000F92E0000}"/>
    <cellStyle name="40% - Accent5 6 4 4" xfId="14781" xr:uid="{00000000-0005-0000-0000-0000FA2E0000}"/>
    <cellStyle name="40% - Accent5 6 4 4 2" xfId="14782" xr:uid="{00000000-0005-0000-0000-0000FB2E0000}"/>
    <cellStyle name="40% - Accent5 6 4 5" xfId="14783" xr:uid="{00000000-0005-0000-0000-0000FC2E0000}"/>
    <cellStyle name="40% - Accent5 6 4 5 2" xfId="14784" xr:uid="{00000000-0005-0000-0000-0000FD2E0000}"/>
    <cellStyle name="40% - Accent5 6 4 6" xfId="14785" xr:uid="{00000000-0005-0000-0000-0000FE2E0000}"/>
    <cellStyle name="40% - Accent5 6 4 7" xfId="14776" xr:uid="{00000000-0005-0000-0000-0000FF2E0000}"/>
    <cellStyle name="40% - Accent5 6 5" xfId="3100" xr:uid="{00000000-0005-0000-0000-0000002F0000}"/>
    <cellStyle name="40% - Accent5 6 5 2" xfId="4638" xr:uid="{00000000-0005-0000-0000-0000012F0000}"/>
    <cellStyle name="40% - Accent5 6 5 2 2" xfId="14788" xr:uid="{00000000-0005-0000-0000-0000022F0000}"/>
    <cellStyle name="40% - Accent5 6 5 2 3" xfId="14787" xr:uid="{00000000-0005-0000-0000-0000032F0000}"/>
    <cellStyle name="40% - Accent5 6 5 3" xfId="14789" xr:uid="{00000000-0005-0000-0000-0000042F0000}"/>
    <cellStyle name="40% - Accent5 6 5 3 2" xfId="14790" xr:uid="{00000000-0005-0000-0000-0000052F0000}"/>
    <cellStyle name="40% - Accent5 6 5 4" xfId="14791" xr:uid="{00000000-0005-0000-0000-0000062F0000}"/>
    <cellStyle name="40% - Accent5 6 5 4 2" xfId="14792" xr:uid="{00000000-0005-0000-0000-0000072F0000}"/>
    <cellStyle name="40% - Accent5 6 5 5" xfId="14793" xr:uid="{00000000-0005-0000-0000-0000082F0000}"/>
    <cellStyle name="40% - Accent5 6 5 5 2" xfId="14794" xr:uid="{00000000-0005-0000-0000-0000092F0000}"/>
    <cellStyle name="40% - Accent5 6 5 6" xfId="14795" xr:uid="{00000000-0005-0000-0000-00000A2F0000}"/>
    <cellStyle name="40% - Accent5 6 5 7" xfId="14786" xr:uid="{00000000-0005-0000-0000-00000B2F0000}"/>
    <cellStyle name="40% - Accent5 6 6" xfId="3471" xr:uid="{00000000-0005-0000-0000-00000C2F0000}"/>
    <cellStyle name="40% - Accent5 6 6 2" xfId="4639" xr:uid="{00000000-0005-0000-0000-00000D2F0000}"/>
    <cellStyle name="40% - Accent5 6 6 2 2" xfId="14798" xr:uid="{00000000-0005-0000-0000-00000E2F0000}"/>
    <cellStyle name="40% - Accent5 6 6 2 3" xfId="14797" xr:uid="{00000000-0005-0000-0000-00000F2F0000}"/>
    <cellStyle name="40% - Accent5 6 6 3" xfId="14799" xr:uid="{00000000-0005-0000-0000-0000102F0000}"/>
    <cellStyle name="40% - Accent5 6 6 3 2" xfId="14800" xr:uid="{00000000-0005-0000-0000-0000112F0000}"/>
    <cellStyle name="40% - Accent5 6 6 4" xfId="14801" xr:uid="{00000000-0005-0000-0000-0000122F0000}"/>
    <cellStyle name="40% - Accent5 6 6 4 2" xfId="14802" xr:uid="{00000000-0005-0000-0000-0000132F0000}"/>
    <cellStyle name="40% - Accent5 6 6 5" xfId="14803" xr:uid="{00000000-0005-0000-0000-0000142F0000}"/>
    <cellStyle name="40% - Accent5 6 6 5 2" xfId="14804" xr:uid="{00000000-0005-0000-0000-0000152F0000}"/>
    <cellStyle name="40% - Accent5 6 6 6" xfId="14805" xr:uid="{00000000-0005-0000-0000-0000162F0000}"/>
    <cellStyle name="40% - Accent5 6 6 7" xfId="14796" xr:uid="{00000000-0005-0000-0000-0000172F0000}"/>
    <cellStyle name="40% - Accent5 6 7" xfId="3777" xr:uid="{00000000-0005-0000-0000-0000182F0000}"/>
    <cellStyle name="40% - Accent5 6 7 2" xfId="4640" xr:uid="{00000000-0005-0000-0000-0000192F0000}"/>
    <cellStyle name="40% - Accent5 6 7 2 2" xfId="14808" xr:uid="{00000000-0005-0000-0000-00001A2F0000}"/>
    <cellStyle name="40% - Accent5 6 7 2 3" xfId="14807" xr:uid="{00000000-0005-0000-0000-00001B2F0000}"/>
    <cellStyle name="40% - Accent5 6 7 3" xfId="14809" xr:uid="{00000000-0005-0000-0000-00001C2F0000}"/>
    <cellStyle name="40% - Accent5 6 7 3 2" xfId="14810" xr:uid="{00000000-0005-0000-0000-00001D2F0000}"/>
    <cellStyle name="40% - Accent5 6 7 4" xfId="14811" xr:uid="{00000000-0005-0000-0000-00001E2F0000}"/>
    <cellStyle name="40% - Accent5 6 7 4 2" xfId="14812" xr:uid="{00000000-0005-0000-0000-00001F2F0000}"/>
    <cellStyle name="40% - Accent5 6 7 5" xfId="14813" xr:uid="{00000000-0005-0000-0000-0000202F0000}"/>
    <cellStyle name="40% - Accent5 6 7 5 2" xfId="14814" xr:uid="{00000000-0005-0000-0000-0000212F0000}"/>
    <cellStyle name="40% - Accent5 6 7 6" xfId="14815" xr:uid="{00000000-0005-0000-0000-0000222F0000}"/>
    <cellStyle name="40% - Accent5 6 7 7" xfId="14806" xr:uid="{00000000-0005-0000-0000-0000232F0000}"/>
    <cellStyle name="40% - Accent5 6 8" xfId="1368" xr:uid="{00000000-0005-0000-0000-0000242F0000}"/>
    <cellStyle name="40% - Accent5 6 8 10" xfId="24900" xr:uid="{00000000-0005-0000-0000-0000252F0000}"/>
    <cellStyle name="40% - Accent5 6 8 11" xfId="26605" xr:uid="{00000000-0005-0000-0000-0000262F0000}"/>
    <cellStyle name="40% - Accent5 6 8 2" xfId="4168" xr:uid="{00000000-0005-0000-0000-0000272F0000}"/>
    <cellStyle name="40% - Accent5 6 8 2 2" xfId="5430" xr:uid="{00000000-0005-0000-0000-0000282F0000}"/>
    <cellStyle name="40% - Accent5 6 8 2 2 2" xfId="6426" xr:uid="{00000000-0005-0000-0000-0000292F0000}"/>
    <cellStyle name="40% - Accent5 6 8 2 2 2 2" xfId="14819" xr:uid="{00000000-0005-0000-0000-00002A2F0000}"/>
    <cellStyle name="40% - Accent5 6 8 2 2 2 3" xfId="26608" xr:uid="{00000000-0005-0000-0000-00002B2F0000}"/>
    <cellStyle name="40% - Accent5 6 8 2 2 3" xfId="14818" xr:uid="{00000000-0005-0000-0000-00002C2F0000}"/>
    <cellStyle name="40% - Accent5 6 8 2 2 4" xfId="26607" xr:uid="{00000000-0005-0000-0000-00002D2F0000}"/>
    <cellStyle name="40% - Accent5 6 8 2 3" xfId="5740" xr:uid="{00000000-0005-0000-0000-00002E2F0000}"/>
    <cellStyle name="40% - Accent5 6 8 2 3 2" xfId="6427" xr:uid="{00000000-0005-0000-0000-00002F2F0000}"/>
    <cellStyle name="40% - Accent5 6 8 2 3 2 2" xfId="26610" xr:uid="{00000000-0005-0000-0000-0000302F0000}"/>
    <cellStyle name="40% - Accent5 6 8 2 3 3" xfId="14820" xr:uid="{00000000-0005-0000-0000-0000312F0000}"/>
    <cellStyle name="40% - Accent5 6 8 2 3 4" xfId="26609" xr:uid="{00000000-0005-0000-0000-0000322F0000}"/>
    <cellStyle name="40% - Accent5 6 8 2 4" xfId="4642" xr:uid="{00000000-0005-0000-0000-0000332F0000}"/>
    <cellStyle name="40% - Accent5 6 8 2 4 2" xfId="6428" xr:uid="{00000000-0005-0000-0000-0000342F0000}"/>
    <cellStyle name="40% - Accent5 6 8 2 4 2 2" xfId="26612" xr:uid="{00000000-0005-0000-0000-0000352F0000}"/>
    <cellStyle name="40% - Accent5 6 8 2 4 3" xfId="26611" xr:uid="{00000000-0005-0000-0000-0000362F0000}"/>
    <cellStyle name="40% - Accent5 6 8 2 5" xfId="6425" xr:uid="{00000000-0005-0000-0000-0000372F0000}"/>
    <cellStyle name="40% - Accent5 6 8 2 5 2" xfId="26613" xr:uid="{00000000-0005-0000-0000-0000382F0000}"/>
    <cellStyle name="40% - Accent5 6 8 2 6" xfId="14817" xr:uid="{00000000-0005-0000-0000-0000392F0000}"/>
    <cellStyle name="40% - Accent5 6 8 2 7" xfId="25020" xr:uid="{00000000-0005-0000-0000-00003A2F0000}"/>
    <cellStyle name="40% - Accent5 6 8 2 8" xfId="26606" xr:uid="{00000000-0005-0000-0000-00003B2F0000}"/>
    <cellStyle name="40% - Accent5 6 8 3" xfId="5429" xr:uid="{00000000-0005-0000-0000-00003C2F0000}"/>
    <cellStyle name="40% - Accent5 6 8 3 2" xfId="6429" xr:uid="{00000000-0005-0000-0000-00003D2F0000}"/>
    <cellStyle name="40% - Accent5 6 8 3 2 2" xfId="14822" xr:uid="{00000000-0005-0000-0000-00003E2F0000}"/>
    <cellStyle name="40% - Accent5 6 8 3 2 3" xfId="26615" xr:uid="{00000000-0005-0000-0000-00003F2F0000}"/>
    <cellStyle name="40% - Accent5 6 8 3 3" xfId="14821" xr:uid="{00000000-0005-0000-0000-0000402F0000}"/>
    <cellStyle name="40% - Accent5 6 8 3 4" xfId="26614" xr:uid="{00000000-0005-0000-0000-0000412F0000}"/>
    <cellStyle name="40% - Accent5 6 8 4" xfId="5739" xr:uid="{00000000-0005-0000-0000-0000422F0000}"/>
    <cellStyle name="40% - Accent5 6 8 4 2" xfId="6430" xr:uid="{00000000-0005-0000-0000-0000432F0000}"/>
    <cellStyle name="40% - Accent5 6 8 4 2 2" xfId="14824" xr:uid="{00000000-0005-0000-0000-0000442F0000}"/>
    <cellStyle name="40% - Accent5 6 8 4 2 3" xfId="26617" xr:uid="{00000000-0005-0000-0000-0000452F0000}"/>
    <cellStyle name="40% - Accent5 6 8 4 3" xfId="14823" xr:uid="{00000000-0005-0000-0000-0000462F0000}"/>
    <cellStyle name="40% - Accent5 6 8 4 4" xfId="26616" xr:uid="{00000000-0005-0000-0000-0000472F0000}"/>
    <cellStyle name="40% - Accent5 6 8 5" xfId="4641" xr:uid="{00000000-0005-0000-0000-0000482F0000}"/>
    <cellStyle name="40% - Accent5 6 8 5 2" xfId="6431" xr:uid="{00000000-0005-0000-0000-0000492F0000}"/>
    <cellStyle name="40% - Accent5 6 8 5 2 2" xfId="14827" xr:uid="{00000000-0005-0000-0000-00004A2F0000}"/>
    <cellStyle name="40% - Accent5 6 8 5 2 3" xfId="14826" xr:uid="{00000000-0005-0000-0000-00004B2F0000}"/>
    <cellStyle name="40% - Accent5 6 8 5 2 4" xfId="26619" xr:uid="{00000000-0005-0000-0000-00004C2F0000}"/>
    <cellStyle name="40% - Accent5 6 8 5 3" xfId="14828" xr:uid="{00000000-0005-0000-0000-00004D2F0000}"/>
    <cellStyle name="40% - Accent5 6 8 5 3 2" xfId="14829" xr:uid="{00000000-0005-0000-0000-00004E2F0000}"/>
    <cellStyle name="40% - Accent5 6 8 5 4" xfId="14830" xr:uid="{00000000-0005-0000-0000-00004F2F0000}"/>
    <cellStyle name="40% - Accent5 6 8 5 5" xfId="14825" xr:uid="{00000000-0005-0000-0000-0000502F0000}"/>
    <cellStyle name="40% - Accent5 6 8 5 6" xfId="26618" xr:uid="{00000000-0005-0000-0000-0000512F0000}"/>
    <cellStyle name="40% - Accent5 6 8 6" xfId="6424" xr:uid="{00000000-0005-0000-0000-0000522F0000}"/>
    <cellStyle name="40% - Accent5 6 8 6 2" xfId="14832" xr:uid="{00000000-0005-0000-0000-0000532F0000}"/>
    <cellStyle name="40% - Accent5 6 8 6 3" xfId="14831" xr:uid="{00000000-0005-0000-0000-0000542F0000}"/>
    <cellStyle name="40% - Accent5 6 8 6 4" xfId="26620" xr:uid="{00000000-0005-0000-0000-0000552F0000}"/>
    <cellStyle name="40% - Accent5 6 8 7" xfId="14833" xr:uid="{00000000-0005-0000-0000-0000562F0000}"/>
    <cellStyle name="40% - Accent5 6 8 7 2" xfId="14834" xr:uid="{00000000-0005-0000-0000-0000572F0000}"/>
    <cellStyle name="40% - Accent5 6 8 8" xfId="14835" xr:uid="{00000000-0005-0000-0000-0000582F0000}"/>
    <cellStyle name="40% - Accent5 6 8 9" xfId="14816" xr:uid="{00000000-0005-0000-0000-0000592F0000}"/>
    <cellStyle name="40% - Accent5 6 9" xfId="3827" xr:uid="{00000000-0005-0000-0000-00005A2F0000}"/>
    <cellStyle name="40% - Accent5 6 9 2" xfId="5431" xr:uid="{00000000-0005-0000-0000-00005B2F0000}"/>
    <cellStyle name="40% - Accent5 6 9 2 2" xfId="6433" xr:uid="{00000000-0005-0000-0000-00005C2F0000}"/>
    <cellStyle name="40% - Accent5 6 9 2 2 2" xfId="14838" xr:uid="{00000000-0005-0000-0000-00005D2F0000}"/>
    <cellStyle name="40% - Accent5 6 9 2 2 3" xfId="26623" xr:uid="{00000000-0005-0000-0000-00005E2F0000}"/>
    <cellStyle name="40% - Accent5 6 9 2 3" xfId="14837" xr:uid="{00000000-0005-0000-0000-00005F2F0000}"/>
    <cellStyle name="40% - Accent5 6 9 2 4" xfId="26622" xr:uid="{00000000-0005-0000-0000-0000602F0000}"/>
    <cellStyle name="40% - Accent5 6 9 3" xfId="5741" xr:uid="{00000000-0005-0000-0000-0000612F0000}"/>
    <cellStyle name="40% - Accent5 6 9 3 2" xfId="6434" xr:uid="{00000000-0005-0000-0000-0000622F0000}"/>
    <cellStyle name="40% - Accent5 6 9 3 2 2" xfId="14840" xr:uid="{00000000-0005-0000-0000-0000632F0000}"/>
    <cellStyle name="40% - Accent5 6 9 3 2 3" xfId="26625" xr:uid="{00000000-0005-0000-0000-0000642F0000}"/>
    <cellStyle name="40% - Accent5 6 9 3 3" xfId="14839" xr:uid="{00000000-0005-0000-0000-0000652F0000}"/>
    <cellStyle name="40% - Accent5 6 9 3 4" xfId="26624" xr:uid="{00000000-0005-0000-0000-0000662F0000}"/>
    <cellStyle name="40% - Accent5 6 9 4" xfId="4643" xr:uid="{00000000-0005-0000-0000-0000672F0000}"/>
    <cellStyle name="40% - Accent5 6 9 4 2" xfId="6435" xr:uid="{00000000-0005-0000-0000-0000682F0000}"/>
    <cellStyle name="40% - Accent5 6 9 4 2 2" xfId="14842" xr:uid="{00000000-0005-0000-0000-0000692F0000}"/>
    <cellStyle name="40% - Accent5 6 9 4 2 3" xfId="26627" xr:uid="{00000000-0005-0000-0000-00006A2F0000}"/>
    <cellStyle name="40% - Accent5 6 9 4 3" xfId="14841" xr:uid="{00000000-0005-0000-0000-00006B2F0000}"/>
    <cellStyle name="40% - Accent5 6 9 4 4" xfId="26626" xr:uid="{00000000-0005-0000-0000-00006C2F0000}"/>
    <cellStyle name="40% - Accent5 6 9 5" xfId="6432" xr:uid="{00000000-0005-0000-0000-00006D2F0000}"/>
    <cellStyle name="40% - Accent5 6 9 5 2" xfId="14843" xr:uid="{00000000-0005-0000-0000-00006E2F0000}"/>
    <cellStyle name="40% - Accent5 6 9 5 3" xfId="26628" xr:uid="{00000000-0005-0000-0000-00006F2F0000}"/>
    <cellStyle name="40% - Accent5 6 9 6" xfId="14836" xr:uid="{00000000-0005-0000-0000-0000702F0000}"/>
    <cellStyle name="40% - Accent5 6 9 7" xfId="24963" xr:uid="{00000000-0005-0000-0000-0000712F0000}"/>
    <cellStyle name="40% - Accent5 6 9 8" xfId="26621" xr:uid="{00000000-0005-0000-0000-0000722F0000}"/>
    <cellStyle name="40% - Accent5 7" xfId="401" xr:uid="{00000000-0005-0000-0000-0000732F0000}"/>
    <cellStyle name="40% - Accent5 7 10" xfId="14845" xr:uid="{00000000-0005-0000-0000-0000742F0000}"/>
    <cellStyle name="40% - Accent5 7 10 2" xfId="14846" xr:uid="{00000000-0005-0000-0000-0000752F0000}"/>
    <cellStyle name="40% - Accent5 7 10 2 2" xfId="14847" xr:uid="{00000000-0005-0000-0000-0000762F0000}"/>
    <cellStyle name="40% - Accent5 7 10 3" xfId="14848" xr:uid="{00000000-0005-0000-0000-0000772F0000}"/>
    <cellStyle name="40% - Accent5 7 10 3 2" xfId="14849" xr:uid="{00000000-0005-0000-0000-0000782F0000}"/>
    <cellStyle name="40% - Accent5 7 10 4" xfId="14850" xr:uid="{00000000-0005-0000-0000-0000792F0000}"/>
    <cellStyle name="40% - Accent5 7 11" xfId="14851" xr:uid="{00000000-0005-0000-0000-00007A2F0000}"/>
    <cellStyle name="40% - Accent5 7 11 2" xfId="14852" xr:uid="{00000000-0005-0000-0000-00007B2F0000}"/>
    <cellStyle name="40% - Accent5 7 11 2 2" xfId="14853" xr:uid="{00000000-0005-0000-0000-00007C2F0000}"/>
    <cellStyle name="40% - Accent5 7 11 3" xfId="14854" xr:uid="{00000000-0005-0000-0000-00007D2F0000}"/>
    <cellStyle name="40% - Accent5 7 11 3 2" xfId="14855" xr:uid="{00000000-0005-0000-0000-00007E2F0000}"/>
    <cellStyle name="40% - Accent5 7 11 4" xfId="14856" xr:uid="{00000000-0005-0000-0000-00007F2F0000}"/>
    <cellStyle name="40% - Accent5 7 12" xfId="14857" xr:uid="{00000000-0005-0000-0000-0000802F0000}"/>
    <cellStyle name="40% - Accent5 7 12 2" xfId="14858" xr:uid="{00000000-0005-0000-0000-0000812F0000}"/>
    <cellStyle name="40% - Accent5 7 12 2 2" xfId="14859" xr:uid="{00000000-0005-0000-0000-0000822F0000}"/>
    <cellStyle name="40% - Accent5 7 12 3" xfId="14860" xr:uid="{00000000-0005-0000-0000-0000832F0000}"/>
    <cellStyle name="40% - Accent5 7 12 3 2" xfId="14861" xr:uid="{00000000-0005-0000-0000-0000842F0000}"/>
    <cellStyle name="40% - Accent5 7 12 4" xfId="14862" xr:uid="{00000000-0005-0000-0000-0000852F0000}"/>
    <cellStyle name="40% - Accent5 7 13" xfId="14863" xr:uid="{00000000-0005-0000-0000-0000862F0000}"/>
    <cellStyle name="40% - Accent5 7 13 2" xfId="14864" xr:uid="{00000000-0005-0000-0000-0000872F0000}"/>
    <cellStyle name="40% - Accent5 7 14" xfId="14865" xr:uid="{00000000-0005-0000-0000-0000882F0000}"/>
    <cellStyle name="40% - Accent5 7 14 2" xfId="14866" xr:uid="{00000000-0005-0000-0000-0000892F0000}"/>
    <cellStyle name="40% - Accent5 7 15" xfId="14867" xr:uid="{00000000-0005-0000-0000-00008A2F0000}"/>
    <cellStyle name="40% - Accent5 7 15 2" xfId="14868" xr:uid="{00000000-0005-0000-0000-00008B2F0000}"/>
    <cellStyle name="40% - Accent5 7 16" xfId="14869" xr:uid="{00000000-0005-0000-0000-00008C2F0000}"/>
    <cellStyle name="40% - Accent5 7 16 2" xfId="14870" xr:uid="{00000000-0005-0000-0000-00008D2F0000}"/>
    <cellStyle name="40% - Accent5 7 17" xfId="14871" xr:uid="{00000000-0005-0000-0000-00008E2F0000}"/>
    <cellStyle name="40% - Accent5 7 18" xfId="14844" xr:uid="{00000000-0005-0000-0000-00008F2F0000}"/>
    <cellStyle name="40% - Accent5 7 2" xfId="4644" xr:uid="{00000000-0005-0000-0000-0000902F0000}"/>
    <cellStyle name="40% - Accent5 7 2 2" xfId="14873" xr:uid="{00000000-0005-0000-0000-0000912F0000}"/>
    <cellStyle name="40% - Accent5 7 2 2 2" xfId="14874" xr:uid="{00000000-0005-0000-0000-0000922F0000}"/>
    <cellStyle name="40% - Accent5 7 2 3" xfId="14875" xr:uid="{00000000-0005-0000-0000-0000932F0000}"/>
    <cellStyle name="40% - Accent5 7 2 3 2" xfId="14876" xr:uid="{00000000-0005-0000-0000-0000942F0000}"/>
    <cellStyle name="40% - Accent5 7 2 4" xfId="14877" xr:uid="{00000000-0005-0000-0000-0000952F0000}"/>
    <cellStyle name="40% - Accent5 7 2 5" xfId="14872" xr:uid="{00000000-0005-0000-0000-0000962F0000}"/>
    <cellStyle name="40% - Accent5 7 3" xfId="14878" xr:uid="{00000000-0005-0000-0000-0000972F0000}"/>
    <cellStyle name="40% - Accent5 7 3 2" xfId="14879" xr:uid="{00000000-0005-0000-0000-0000982F0000}"/>
    <cellStyle name="40% - Accent5 7 3 2 2" xfId="14880" xr:uid="{00000000-0005-0000-0000-0000992F0000}"/>
    <cellStyle name="40% - Accent5 7 3 3" xfId="14881" xr:uid="{00000000-0005-0000-0000-00009A2F0000}"/>
    <cellStyle name="40% - Accent5 7 3 3 2" xfId="14882" xr:uid="{00000000-0005-0000-0000-00009B2F0000}"/>
    <cellStyle name="40% - Accent5 7 3 4" xfId="14883" xr:uid="{00000000-0005-0000-0000-00009C2F0000}"/>
    <cellStyle name="40% - Accent5 7 4" xfId="14884" xr:uid="{00000000-0005-0000-0000-00009D2F0000}"/>
    <cellStyle name="40% - Accent5 7 4 2" xfId="14885" xr:uid="{00000000-0005-0000-0000-00009E2F0000}"/>
    <cellStyle name="40% - Accent5 7 4 2 2" xfId="14886" xr:uid="{00000000-0005-0000-0000-00009F2F0000}"/>
    <cellStyle name="40% - Accent5 7 4 3" xfId="14887" xr:uid="{00000000-0005-0000-0000-0000A02F0000}"/>
    <cellStyle name="40% - Accent5 7 4 3 2" xfId="14888" xr:uid="{00000000-0005-0000-0000-0000A12F0000}"/>
    <cellStyle name="40% - Accent5 7 4 4" xfId="14889" xr:uid="{00000000-0005-0000-0000-0000A22F0000}"/>
    <cellStyle name="40% - Accent5 7 5" xfId="14890" xr:uid="{00000000-0005-0000-0000-0000A32F0000}"/>
    <cellStyle name="40% - Accent5 7 5 2" xfId="14891" xr:uid="{00000000-0005-0000-0000-0000A42F0000}"/>
    <cellStyle name="40% - Accent5 7 5 2 2" xfId="14892" xr:uid="{00000000-0005-0000-0000-0000A52F0000}"/>
    <cellStyle name="40% - Accent5 7 5 3" xfId="14893" xr:uid="{00000000-0005-0000-0000-0000A62F0000}"/>
    <cellStyle name="40% - Accent5 7 5 3 2" xfId="14894" xr:uid="{00000000-0005-0000-0000-0000A72F0000}"/>
    <cellStyle name="40% - Accent5 7 5 4" xfId="14895" xr:uid="{00000000-0005-0000-0000-0000A82F0000}"/>
    <cellStyle name="40% - Accent5 7 6" xfId="14896" xr:uid="{00000000-0005-0000-0000-0000A92F0000}"/>
    <cellStyle name="40% - Accent5 7 6 2" xfId="14897" xr:uid="{00000000-0005-0000-0000-0000AA2F0000}"/>
    <cellStyle name="40% - Accent5 7 6 2 2" xfId="14898" xr:uid="{00000000-0005-0000-0000-0000AB2F0000}"/>
    <cellStyle name="40% - Accent5 7 6 3" xfId="14899" xr:uid="{00000000-0005-0000-0000-0000AC2F0000}"/>
    <cellStyle name="40% - Accent5 7 6 3 2" xfId="14900" xr:uid="{00000000-0005-0000-0000-0000AD2F0000}"/>
    <cellStyle name="40% - Accent5 7 6 4" xfId="14901" xr:uid="{00000000-0005-0000-0000-0000AE2F0000}"/>
    <cellStyle name="40% - Accent5 7 7" xfId="14902" xr:uid="{00000000-0005-0000-0000-0000AF2F0000}"/>
    <cellStyle name="40% - Accent5 7 7 2" xfId="14903" xr:uid="{00000000-0005-0000-0000-0000B02F0000}"/>
    <cellStyle name="40% - Accent5 7 7 2 2" xfId="14904" xr:uid="{00000000-0005-0000-0000-0000B12F0000}"/>
    <cellStyle name="40% - Accent5 7 7 3" xfId="14905" xr:uid="{00000000-0005-0000-0000-0000B22F0000}"/>
    <cellStyle name="40% - Accent5 7 7 3 2" xfId="14906" xr:uid="{00000000-0005-0000-0000-0000B32F0000}"/>
    <cellStyle name="40% - Accent5 7 7 4" xfId="14907" xr:uid="{00000000-0005-0000-0000-0000B42F0000}"/>
    <cellStyle name="40% - Accent5 7 8" xfId="14908" xr:uid="{00000000-0005-0000-0000-0000B52F0000}"/>
    <cellStyle name="40% - Accent5 7 8 2" xfId="14909" xr:uid="{00000000-0005-0000-0000-0000B62F0000}"/>
    <cellStyle name="40% - Accent5 7 8 2 2" xfId="14910" xr:uid="{00000000-0005-0000-0000-0000B72F0000}"/>
    <cellStyle name="40% - Accent5 7 8 3" xfId="14911" xr:uid="{00000000-0005-0000-0000-0000B82F0000}"/>
    <cellStyle name="40% - Accent5 7 8 3 2" xfId="14912" xr:uid="{00000000-0005-0000-0000-0000B92F0000}"/>
    <cellStyle name="40% - Accent5 7 8 4" xfId="14913" xr:uid="{00000000-0005-0000-0000-0000BA2F0000}"/>
    <cellStyle name="40% - Accent5 7 9" xfId="14914" xr:uid="{00000000-0005-0000-0000-0000BB2F0000}"/>
    <cellStyle name="40% - Accent5 7 9 2" xfId="14915" xr:uid="{00000000-0005-0000-0000-0000BC2F0000}"/>
    <cellStyle name="40% - Accent5 7 9 2 2" xfId="14916" xr:uid="{00000000-0005-0000-0000-0000BD2F0000}"/>
    <cellStyle name="40% - Accent5 7 9 3" xfId="14917" xr:uid="{00000000-0005-0000-0000-0000BE2F0000}"/>
    <cellStyle name="40% - Accent5 7 9 3 2" xfId="14918" xr:uid="{00000000-0005-0000-0000-0000BF2F0000}"/>
    <cellStyle name="40% - Accent5 7 9 4" xfId="14919" xr:uid="{00000000-0005-0000-0000-0000C02F0000}"/>
    <cellStyle name="40% - Accent5 8" xfId="550" xr:uid="{00000000-0005-0000-0000-0000C12F0000}"/>
    <cellStyle name="40% - Accent5 8 10" xfId="14920" xr:uid="{00000000-0005-0000-0000-0000C22F0000}"/>
    <cellStyle name="40% - Accent5 8 11" xfId="24855" xr:uid="{00000000-0005-0000-0000-0000C32F0000}"/>
    <cellStyle name="40% - Accent5 8 12" xfId="26629" xr:uid="{00000000-0005-0000-0000-0000C42F0000}"/>
    <cellStyle name="40% - Accent5 8 2" xfId="1381" xr:uid="{00000000-0005-0000-0000-0000C52F0000}"/>
    <cellStyle name="40% - Accent5 8 2 10" xfId="24913" xr:uid="{00000000-0005-0000-0000-0000C62F0000}"/>
    <cellStyle name="40% - Accent5 8 2 11" xfId="26630" xr:uid="{00000000-0005-0000-0000-0000C72F0000}"/>
    <cellStyle name="40% - Accent5 8 2 2" xfId="4181" xr:uid="{00000000-0005-0000-0000-0000C82F0000}"/>
    <cellStyle name="40% - Accent5 8 2 2 2" xfId="5434" xr:uid="{00000000-0005-0000-0000-0000C92F0000}"/>
    <cellStyle name="40% - Accent5 8 2 2 2 2" xfId="6439" xr:uid="{00000000-0005-0000-0000-0000CA2F0000}"/>
    <cellStyle name="40% - Accent5 8 2 2 2 2 2" xfId="14924" xr:uid="{00000000-0005-0000-0000-0000CB2F0000}"/>
    <cellStyle name="40% - Accent5 8 2 2 2 2 3" xfId="26633" xr:uid="{00000000-0005-0000-0000-0000CC2F0000}"/>
    <cellStyle name="40% - Accent5 8 2 2 2 3" xfId="14923" xr:uid="{00000000-0005-0000-0000-0000CD2F0000}"/>
    <cellStyle name="40% - Accent5 8 2 2 2 4" xfId="26632" xr:uid="{00000000-0005-0000-0000-0000CE2F0000}"/>
    <cellStyle name="40% - Accent5 8 2 2 3" xfId="5744" xr:uid="{00000000-0005-0000-0000-0000CF2F0000}"/>
    <cellStyle name="40% - Accent5 8 2 2 3 2" xfId="6440" xr:uid="{00000000-0005-0000-0000-0000D02F0000}"/>
    <cellStyle name="40% - Accent5 8 2 2 3 2 2" xfId="26635" xr:uid="{00000000-0005-0000-0000-0000D12F0000}"/>
    <cellStyle name="40% - Accent5 8 2 2 3 3" xfId="14925" xr:uid="{00000000-0005-0000-0000-0000D22F0000}"/>
    <cellStyle name="40% - Accent5 8 2 2 3 4" xfId="26634" xr:uid="{00000000-0005-0000-0000-0000D32F0000}"/>
    <cellStyle name="40% - Accent5 8 2 2 4" xfId="4647" xr:uid="{00000000-0005-0000-0000-0000D42F0000}"/>
    <cellStyle name="40% - Accent5 8 2 2 4 2" xfId="6441" xr:uid="{00000000-0005-0000-0000-0000D52F0000}"/>
    <cellStyle name="40% - Accent5 8 2 2 4 2 2" xfId="26637" xr:uid="{00000000-0005-0000-0000-0000D62F0000}"/>
    <cellStyle name="40% - Accent5 8 2 2 4 3" xfId="26636" xr:uid="{00000000-0005-0000-0000-0000D72F0000}"/>
    <cellStyle name="40% - Accent5 8 2 2 5" xfId="6438" xr:uid="{00000000-0005-0000-0000-0000D82F0000}"/>
    <cellStyle name="40% - Accent5 8 2 2 5 2" xfId="26638" xr:uid="{00000000-0005-0000-0000-0000D92F0000}"/>
    <cellStyle name="40% - Accent5 8 2 2 6" xfId="14922" xr:uid="{00000000-0005-0000-0000-0000DA2F0000}"/>
    <cellStyle name="40% - Accent5 8 2 2 7" xfId="25033" xr:uid="{00000000-0005-0000-0000-0000DB2F0000}"/>
    <cellStyle name="40% - Accent5 8 2 2 8" xfId="26631" xr:uid="{00000000-0005-0000-0000-0000DC2F0000}"/>
    <cellStyle name="40% - Accent5 8 2 3" xfId="5433" xr:uid="{00000000-0005-0000-0000-0000DD2F0000}"/>
    <cellStyle name="40% - Accent5 8 2 3 2" xfId="6442" xr:uid="{00000000-0005-0000-0000-0000DE2F0000}"/>
    <cellStyle name="40% - Accent5 8 2 3 2 2" xfId="14927" xr:uid="{00000000-0005-0000-0000-0000DF2F0000}"/>
    <cellStyle name="40% - Accent5 8 2 3 2 3" xfId="26640" xr:uid="{00000000-0005-0000-0000-0000E02F0000}"/>
    <cellStyle name="40% - Accent5 8 2 3 3" xfId="14926" xr:uid="{00000000-0005-0000-0000-0000E12F0000}"/>
    <cellStyle name="40% - Accent5 8 2 3 4" xfId="26639" xr:uid="{00000000-0005-0000-0000-0000E22F0000}"/>
    <cellStyle name="40% - Accent5 8 2 4" xfId="5743" xr:uid="{00000000-0005-0000-0000-0000E32F0000}"/>
    <cellStyle name="40% - Accent5 8 2 4 2" xfId="6443" xr:uid="{00000000-0005-0000-0000-0000E42F0000}"/>
    <cellStyle name="40% - Accent5 8 2 4 2 2" xfId="14929" xr:uid="{00000000-0005-0000-0000-0000E52F0000}"/>
    <cellStyle name="40% - Accent5 8 2 4 2 3" xfId="26642" xr:uid="{00000000-0005-0000-0000-0000E62F0000}"/>
    <cellStyle name="40% - Accent5 8 2 4 3" xfId="14928" xr:uid="{00000000-0005-0000-0000-0000E72F0000}"/>
    <cellStyle name="40% - Accent5 8 2 4 4" xfId="26641" xr:uid="{00000000-0005-0000-0000-0000E82F0000}"/>
    <cellStyle name="40% - Accent5 8 2 5" xfId="4646" xr:uid="{00000000-0005-0000-0000-0000E92F0000}"/>
    <cellStyle name="40% - Accent5 8 2 5 2" xfId="6444" xr:uid="{00000000-0005-0000-0000-0000EA2F0000}"/>
    <cellStyle name="40% - Accent5 8 2 5 2 2" xfId="14932" xr:uid="{00000000-0005-0000-0000-0000EB2F0000}"/>
    <cellStyle name="40% - Accent5 8 2 5 2 3" xfId="14931" xr:uid="{00000000-0005-0000-0000-0000EC2F0000}"/>
    <cellStyle name="40% - Accent5 8 2 5 2 4" xfId="26644" xr:uid="{00000000-0005-0000-0000-0000ED2F0000}"/>
    <cellStyle name="40% - Accent5 8 2 5 3" xfId="14933" xr:uid="{00000000-0005-0000-0000-0000EE2F0000}"/>
    <cellStyle name="40% - Accent5 8 2 5 3 2" xfId="14934" xr:uid="{00000000-0005-0000-0000-0000EF2F0000}"/>
    <cellStyle name="40% - Accent5 8 2 5 4" xfId="14935" xr:uid="{00000000-0005-0000-0000-0000F02F0000}"/>
    <cellStyle name="40% - Accent5 8 2 5 5" xfId="14930" xr:uid="{00000000-0005-0000-0000-0000F12F0000}"/>
    <cellStyle name="40% - Accent5 8 2 5 6" xfId="26643" xr:uid="{00000000-0005-0000-0000-0000F22F0000}"/>
    <cellStyle name="40% - Accent5 8 2 6" xfId="6437" xr:uid="{00000000-0005-0000-0000-0000F32F0000}"/>
    <cellStyle name="40% - Accent5 8 2 6 2" xfId="14937" xr:uid="{00000000-0005-0000-0000-0000F42F0000}"/>
    <cellStyle name="40% - Accent5 8 2 6 3" xfId="14936" xr:uid="{00000000-0005-0000-0000-0000F52F0000}"/>
    <cellStyle name="40% - Accent5 8 2 6 4" xfId="26645" xr:uid="{00000000-0005-0000-0000-0000F62F0000}"/>
    <cellStyle name="40% - Accent5 8 2 7" xfId="14938" xr:uid="{00000000-0005-0000-0000-0000F72F0000}"/>
    <cellStyle name="40% - Accent5 8 2 7 2" xfId="14939" xr:uid="{00000000-0005-0000-0000-0000F82F0000}"/>
    <cellStyle name="40% - Accent5 8 2 8" xfId="14940" xr:uid="{00000000-0005-0000-0000-0000F92F0000}"/>
    <cellStyle name="40% - Accent5 8 2 9" xfId="14921" xr:uid="{00000000-0005-0000-0000-0000FA2F0000}"/>
    <cellStyle name="40% - Accent5 8 3" xfId="3841" xr:uid="{00000000-0005-0000-0000-0000FB2F0000}"/>
    <cellStyle name="40% - Accent5 8 3 2" xfId="5435" xr:uid="{00000000-0005-0000-0000-0000FC2F0000}"/>
    <cellStyle name="40% - Accent5 8 3 2 2" xfId="6446" xr:uid="{00000000-0005-0000-0000-0000FD2F0000}"/>
    <cellStyle name="40% - Accent5 8 3 2 2 2" xfId="14943" xr:uid="{00000000-0005-0000-0000-0000FE2F0000}"/>
    <cellStyle name="40% - Accent5 8 3 2 2 3" xfId="26648" xr:uid="{00000000-0005-0000-0000-0000FF2F0000}"/>
    <cellStyle name="40% - Accent5 8 3 2 3" xfId="14942" xr:uid="{00000000-0005-0000-0000-000000300000}"/>
    <cellStyle name="40% - Accent5 8 3 2 4" xfId="26647" xr:uid="{00000000-0005-0000-0000-000001300000}"/>
    <cellStyle name="40% - Accent5 8 3 3" xfId="5745" xr:uid="{00000000-0005-0000-0000-000002300000}"/>
    <cellStyle name="40% - Accent5 8 3 3 2" xfId="6447" xr:uid="{00000000-0005-0000-0000-000003300000}"/>
    <cellStyle name="40% - Accent5 8 3 3 2 2" xfId="26650" xr:uid="{00000000-0005-0000-0000-000004300000}"/>
    <cellStyle name="40% - Accent5 8 3 3 3" xfId="14944" xr:uid="{00000000-0005-0000-0000-000005300000}"/>
    <cellStyle name="40% - Accent5 8 3 3 4" xfId="26649" xr:uid="{00000000-0005-0000-0000-000006300000}"/>
    <cellStyle name="40% - Accent5 8 3 4" xfId="4648" xr:uid="{00000000-0005-0000-0000-000007300000}"/>
    <cellStyle name="40% - Accent5 8 3 4 2" xfId="6448" xr:uid="{00000000-0005-0000-0000-000008300000}"/>
    <cellStyle name="40% - Accent5 8 3 4 2 2" xfId="26652" xr:uid="{00000000-0005-0000-0000-000009300000}"/>
    <cellStyle name="40% - Accent5 8 3 4 3" xfId="26651" xr:uid="{00000000-0005-0000-0000-00000A300000}"/>
    <cellStyle name="40% - Accent5 8 3 5" xfId="6445" xr:uid="{00000000-0005-0000-0000-00000B300000}"/>
    <cellStyle name="40% - Accent5 8 3 5 2" xfId="26653" xr:uid="{00000000-0005-0000-0000-00000C300000}"/>
    <cellStyle name="40% - Accent5 8 3 6" xfId="14941" xr:uid="{00000000-0005-0000-0000-00000D300000}"/>
    <cellStyle name="40% - Accent5 8 3 7" xfId="24977" xr:uid="{00000000-0005-0000-0000-00000E300000}"/>
    <cellStyle name="40% - Accent5 8 3 8" xfId="26646" xr:uid="{00000000-0005-0000-0000-00000F300000}"/>
    <cellStyle name="40% - Accent5 8 4" xfId="5432" xr:uid="{00000000-0005-0000-0000-000010300000}"/>
    <cellStyle name="40% - Accent5 8 4 2" xfId="6449" xr:uid="{00000000-0005-0000-0000-000011300000}"/>
    <cellStyle name="40% - Accent5 8 4 2 2" xfId="14946" xr:uid="{00000000-0005-0000-0000-000012300000}"/>
    <cellStyle name="40% - Accent5 8 4 2 3" xfId="26655" xr:uid="{00000000-0005-0000-0000-000013300000}"/>
    <cellStyle name="40% - Accent5 8 4 3" xfId="14945" xr:uid="{00000000-0005-0000-0000-000014300000}"/>
    <cellStyle name="40% - Accent5 8 4 4" xfId="26654" xr:uid="{00000000-0005-0000-0000-000015300000}"/>
    <cellStyle name="40% - Accent5 8 5" xfId="5742" xr:uid="{00000000-0005-0000-0000-000016300000}"/>
    <cellStyle name="40% - Accent5 8 5 2" xfId="6450" xr:uid="{00000000-0005-0000-0000-000017300000}"/>
    <cellStyle name="40% - Accent5 8 5 2 2" xfId="14948" xr:uid="{00000000-0005-0000-0000-000018300000}"/>
    <cellStyle name="40% - Accent5 8 5 2 3" xfId="26657" xr:uid="{00000000-0005-0000-0000-000019300000}"/>
    <cellStyle name="40% - Accent5 8 5 3" xfId="14947" xr:uid="{00000000-0005-0000-0000-00001A300000}"/>
    <cellStyle name="40% - Accent5 8 5 4" xfId="26656" xr:uid="{00000000-0005-0000-0000-00001B300000}"/>
    <cellStyle name="40% - Accent5 8 6" xfId="4645" xr:uid="{00000000-0005-0000-0000-00001C300000}"/>
    <cellStyle name="40% - Accent5 8 6 2" xfId="6451" xr:uid="{00000000-0005-0000-0000-00001D300000}"/>
    <cellStyle name="40% - Accent5 8 6 2 2" xfId="14951" xr:uid="{00000000-0005-0000-0000-00001E300000}"/>
    <cellStyle name="40% - Accent5 8 6 2 3" xfId="14950" xr:uid="{00000000-0005-0000-0000-00001F300000}"/>
    <cellStyle name="40% - Accent5 8 6 2 4" xfId="26659" xr:uid="{00000000-0005-0000-0000-000020300000}"/>
    <cellStyle name="40% - Accent5 8 6 3" xfId="14952" xr:uid="{00000000-0005-0000-0000-000021300000}"/>
    <cellStyle name="40% - Accent5 8 6 3 2" xfId="14953" xr:uid="{00000000-0005-0000-0000-000022300000}"/>
    <cellStyle name="40% - Accent5 8 6 4" xfId="14954" xr:uid="{00000000-0005-0000-0000-000023300000}"/>
    <cellStyle name="40% - Accent5 8 6 5" xfId="14949" xr:uid="{00000000-0005-0000-0000-000024300000}"/>
    <cellStyle name="40% - Accent5 8 6 6" xfId="26658" xr:uid="{00000000-0005-0000-0000-000025300000}"/>
    <cellStyle name="40% - Accent5 8 7" xfId="6436" xr:uid="{00000000-0005-0000-0000-000026300000}"/>
    <cellStyle name="40% - Accent5 8 7 2" xfId="14956" xr:uid="{00000000-0005-0000-0000-000027300000}"/>
    <cellStyle name="40% - Accent5 8 7 3" xfId="14955" xr:uid="{00000000-0005-0000-0000-000028300000}"/>
    <cellStyle name="40% - Accent5 8 7 4" xfId="26660" xr:uid="{00000000-0005-0000-0000-000029300000}"/>
    <cellStyle name="40% - Accent5 8 8" xfId="14957" xr:uid="{00000000-0005-0000-0000-00002A300000}"/>
    <cellStyle name="40% - Accent5 8 8 2" xfId="14958" xr:uid="{00000000-0005-0000-0000-00002B300000}"/>
    <cellStyle name="40% - Accent5 8 9" xfId="14959" xr:uid="{00000000-0005-0000-0000-00002C300000}"/>
    <cellStyle name="40% - Accent5 9" xfId="551" xr:uid="{00000000-0005-0000-0000-00002D300000}"/>
    <cellStyle name="40% - Accent5 9 2" xfId="4649" xr:uid="{00000000-0005-0000-0000-00002E300000}"/>
    <cellStyle name="40% - Accent5 9 2 2" xfId="14962" xr:uid="{00000000-0005-0000-0000-00002F300000}"/>
    <cellStyle name="40% - Accent5 9 2 2 2" xfId="14963" xr:uid="{00000000-0005-0000-0000-000030300000}"/>
    <cellStyle name="40% - Accent5 9 2 3" xfId="14964" xr:uid="{00000000-0005-0000-0000-000031300000}"/>
    <cellStyle name="40% - Accent5 9 2 3 2" xfId="14965" xr:uid="{00000000-0005-0000-0000-000032300000}"/>
    <cellStyle name="40% - Accent5 9 2 4" xfId="14966" xr:uid="{00000000-0005-0000-0000-000033300000}"/>
    <cellStyle name="40% - Accent5 9 2 5" xfId="14961" xr:uid="{00000000-0005-0000-0000-000034300000}"/>
    <cellStyle name="40% - Accent5 9 3" xfId="14967" xr:uid="{00000000-0005-0000-0000-000035300000}"/>
    <cellStyle name="40% - Accent5 9 3 2" xfId="14968" xr:uid="{00000000-0005-0000-0000-000036300000}"/>
    <cellStyle name="40% - Accent5 9 4" xfId="14969" xr:uid="{00000000-0005-0000-0000-000037300000}"/>
    <cellStyle name="40% - Accent5 9 4 2" xfId="14970" xr:uid="{00000000-0005-0000-0000-000038300000}"/>
    <cellStyle name="40% - Accent5 9 5" xfId="14971" xr:uid="{00000000-0005-0000-0000-000039300000}"/>
    <cellStyle name="40% - Accent5 9 5 2" xfId="14972" xr:uid="{00000000-0005-0000-0000-00003A300000}"/>
    <cellStyle name="40% - Accent5 9 6" xfId="14973" xr:uid="{00000000-0005-0000-0000-00003B300000}"/>
    <cellStyle name="40% - Accent5 9 6 2" xfId="14974" xr:uid="{00000000-0005-0000-0000-00003C300000}"/>
    <cellStyle name="40% - Accent5 9 7" xfId="14975" xr:uid="{00000000-0005-0000-0000-00003D300000}"/>
    <cellStyle name="40% - Accent5 9 8" xfId="14960" xr:uid="{00000000-0005-0000-0000-00003E300000}"/>
    <cellStyle name="40% - Accent6 10" xfId="684" xr:uid="{00000000-0005-0000-0000-00003F300000}"/>
    <cellStyle name="40% - Accent6 10 2" xfId="4650" xr:uid="{00000000-0005-0000-0000-000040300000}"/>
    <cellStyle name="40% - Accent6 10 2 2" xfId="14979" xr:uid="{00000000-0005-0000-0000-000041300000}"/>
    <cellStyle name="40% - Accent6 10 2 3" xfId="14978" xr:uid="{00000000-0005-0000-0000-000042300000}"/>
    <cellStyle name="40% - Accent6 10 3" xfId="14980" xr:uid="{00000000-0005-0000-0000-000043300000}"/>
    <cellStyle name="40% - Accent6 10 3 2" xfId="14981" xr:uid="{00000000-0005-0000-0000-000044300000}"/>
    <cellStyle name="40% - Accent6 10 4" xfId="14982" xr:uid="{00000000-0005-0000-0000-000045300000}"/>
    <cellStyle name="40% - Accent6 10 4 2" xfId="14983" xr:uid="{00000000-0005-0000-0000-000046300000}"/>
    <cellStyle name="40% - Accent6 10 5" xfId="14984" xr:uid="{00000000-0005-0000-0000-000047300000}"/>
    <cellStyle name="40% - Accent6 10 5 2" xfId="14985" xr:uid="{00000000-0005-0000-0000-000048300000}"/>
    <cellStyle name="40% - Accent6 10 6" xfId="14986" xr:uid="{00000000-0005-0000-0000-000049300000}"/>
    <cellStyle name="40% - Accent6 10 7" xfId="14977" xr:uid="{00000000-0005-0000-0000-00004A300000}"/>
    <cellStyle name="40% - Accent6 11" xfId="685" xr:uid="{00000000-0005-0000-0000-00004B300000}"/>
    <cellStyle name="40% - Accent6 11 2" xfId="4651" xr:uid="{00000000-0005-0000-0000-00004C300000}"/>
    <cellStyle name="40% - Accent6 11 2 2" xfId="14989" xr:uid="{00000000-0005-0000-0000-00004D300000}"/>
    <cellStyle name="40% - Accent6 11 2 3" xfId="14988" xr:uid="{00000000-0005-0000-0000-00004E300000}"/>
    <cellStyle name="40% - Accent6 11 3" xfId="14990" xr:uid="{00000000-0005-0000-0000-00004F300000}"/>
    <cellStyle name="40% - Accent6 11 3 2" xfId="14991" xr:uid="{00000000-0005-0000-0000-000050300000}"/>
    <cellStyle name="40% - Accent6 11 4" xfId="14992" xr:uid="{00000000-0005-0000-0000-000051300000}"/>
    <cellStyle name="40% - Accent6 11 4 2" xfId="14993" xr:uid="{00000000-0005-0000-0000-000052300000}"/>
    <cellStyle name="40% - Accent6 11 5" xfId="14994" xr:uid="{00000000-0005-0000-0000-000053300000}"/>
    <cellStyle name="40% - Accent6 11 5 2" xfId="14995" xr:uid="{00000000-0005-0000-0000-000054300000}"/>
    <cellStyle name="40% - Accent6 11 6" xfId="14996" xr:uid="{00000000-0005-0000-0000-000055300000}"/>
    <cellStyle name="40% - Accent6 11 7" xfId="14987" xr:uid="{00000000-0005-0000-0000-000056300000}"/>
    <cellStyle name="40% - Accent6 12" xfId="831" xr:uid="{00000000-0005-0000-0000-000057300000}"/>
    <cellStyle name="40% - Accent6 12 2" xfId="14998" xr:uid="{00000000-0005-0000-0000-000058300000}"/>
    <cellStyle name="40% - Accent6 12 2 2" xfId="14999" xr:uid="{00000000-0005-0000-0000-000059300000}"/>
    <cellStyle name="40% - Accent6 12 3" xfId="15000" xr:uid="{00000000-0005-0000-0000-00005A300000}"/>
    <cellStyle name="40% - Accent6 12 3 2" xfId="15001" xr:uid="{00000000-0005-0000-0000-00005B300000}"/>
    <cellStyle name="40% - Accent6 12 4" xfId="15002" xr:uid="{00000000-0005-0000-0000-00005C300000}"/>
    <cellStyle name="40% - Accent6 12 5" xfId="14997" xr:uid="{00000000-0005-0000-0000-00005D300000}"/>
    <cellStyle name="40% - Accent6 13" xfId="832" xr:uid="{00000000-0005-0000-0000-00005E300000}"/>
    <cellStyle name="40% - Accent6 13 2" xfId="3856" xr:uid="{00000000-0005-0000-0000-00005F300000}"/>
    <cellStyle name="40% - Accent6 13 2 2" xfId="6453" xr:uid="{00000000-0005-0000-0000-000060300000}"/>
    <cellStyle name="40% - Accent6 13 2 2 2" xfId="15005" xr:uid="{00000000-0005-0000-0000-000061300000}"/>
    <cellStyle name="40% - Accent6 13 2 2 3" xfId="26663" xr:uid="{00000000-0005-0000-0000-000062300000}"/>
    <cellStyle name="40% - Accent6 13 2 3" xfId="15004" xr:uid="{00000000-0005-0000-0000-000063300000}"/>
    <cellStyle name="40% - Accent6 13 2 4" xfId="24992" xr:uid="{00000000-0005-0000-0000-000064300000}"/>
    <cellStyle name="40% - Accent6 13 2 5" xfId="26662" xr:uid="{00000000-0005-0000-0000-000065300000}"/>
    <cellStyle name="40% - Accent6 13 3" xfId="6452" xr:uid="{00000000-0005-0000-0000-000066300000}"/>
    <cellStyle name="40% - Accent6 13 3 2" xfId="15007" xr:uid="{00000000-0005-0000-0000-000067300000}"/>
    <cellStyle name="40% - Accent6 13 3 3" xfId="15006" xr:uid="{00000000-0005-0000-0000-000068300000}"/>
    <cellStyle name="40% - Accent6 13 3 4" xfId="26664" xr:uid="{00000000-0005-0000-0000-000069300000}"/>
    <cellStyle name="40% - Accent6 13 4" xfId="15008" xr:uid="{00000000-0005-0000-0000-00006A300000}"/>
    <cellStyle name="40% - Accent6 13 5" xfId="15003" xr:uid="{00000000-0005-0000-0000-00006B300000}"/>
    <cellStyle name="40% - Accent6 13 6" xfId="24871" xr:uid="{00000000-0005-0000-0000-00006C300000}"/>
    <cellStyle name="40% - Accent6 13 7" xfId="26661" xr:uid="{00000000-0005-0000-0000-00006D300000}"/>
    <cellStyle name="40% - Accent6 14" xfId="943" xr:uid="{00000000-0005-0000-0000-00006E300000}"/>
    <cellStyle name="40% - Accent6 14 2" xfId="15010" xr:uid="{00000000-0005-0000-0000-00006F300000}"/>
    <cellStyle name="40% - Accent6 14 2 2" xfId="15011" xr:uid="{00000000-0005-0000-0000-000070300000}"/>
    <cellStyle name="40% - Accent6 14 3" xfId="15012" xr:uid="{00000000-0005-0000-0000-000071300000}"/>
    <cellStyle name="40% - Accent6 14 3 2" xfId="15013" xr:uid="{00000000-0005-0000-0000-000072300000}"/>
    <cellStyle name="40% - Accent6 14 4" xfId="15014" xr:uid="{00000000-0005-0000-0000-000073300000}"/>
    <cellStyle name="40% - Accent6 14 5" xfId="15009" xr:uid="{00000000-0005-0000-0000-000074300000}"/>
    <cellStyle name="40% - Accent6 15" xfId="15015" xr:uid="{00000000-0005-0000-0000-000075300000}"/>
    <cellStyle name="40% - Accent6 15 2" xfId="15016" xr:uid="{00000000-0005-0000-0000-000076300000}"/>
    <cellStyle name="40% - Accent6 15 2 2" xfId="15017" xr:uid="{00000000-0005-0000-0000-000077300000}"/>
    <cellStyle name="40% - Accent6 15 3" xfId="15018" xr:uid="{00000000-0005-0000-0000-000078300000}"/>
    <cellStyle name="40% - Accent6 15 3 2" xfId="15019" xr:uid="{00000000-0005-0000-0000-000079300000}"/>
    <cellStyle name="40% - Accent6 15 4" xfId="15020" xr:uid="{00000000-0005-0000-0000-00007A300000}"/>
    <cellStyle name="40% - Accent6 16" xfId="15021" xr:uid="{00000000-0005-0000-0000-00007B300000}"/>
    <cellStyle name="40% - Accent6 16 2" xfId="15022" xr:uid="{00000000-0005-0000-0000-00007C300000}"/>
    <cellStyle name="40% - Accent6 16 2 2" xfId="15023" xr:uid="{00000000-0005-0000-0000-00007D300000}"/>
    <cellStyle name="40% - Accent6 16 3" xfId="15024" xr:uid="{00000000-0005-0000-0000-00007E300000}"/>
    <cellStyle name="40% - Accent6 16 3 2" xfId="15025" xr:uid="{00000000-0005-0000-0000-00007F300000}"/>
    <cellStyle name="40% - Accent6 16 4" xfId="15026" xr:uid="{00000000-0005-0000-0000-000080300000}"/>
    <cellStyle name="40% - Accent6 17" xfId="15027" xr:uid="{00000000-0005-0000-0000-000081300000}"/>
    <cellStyle name="40% - Accent6 17 2" xfId="15028" xr:uid="{00000000-0005-0000-0000-000082300000}"/>
    <cellStyle name="40% - Accent6 17 2 2" xfId="15029" xr:uid="{00000000-0005-0000-0000-000083300000}"/>
    <cellStyle name="40% - Accent6 17 3" xfId="15030" xr:uid="{00000000-0005-0000-0000-000084300000}"/>
    <cellStyle name="40% - Accent6 17 3 2" xfId="15031" xr:uid="{00000000-0005-0000-0000-000085300000}"/>
    <cellStyle name="40% - Accent6 17 4" xfId="15032" xr:uid="{00000000-0005-0000-0000-000086300000}"/>
    <cellStyle name="40% - Accent6 18" xfId="15033" xr:uid="{00000000-0005-0000-0000-000087300000}"/>
    <cellStyle name="40% - Accent6 18 2" xfId="15034" xr:uid="{00000000-0005-0000-0000-000088300000}"/>
    <cellStyle name="40% - Accent6 18 2 2" xfId="15035" xr:uid="{00000000-0005-0000-0000-000089300000}"/>
    <cellStyle name="40% - Accent6 18 3" xfId="15036" xr:uid="{00000000-0005-0000-0000-00008A300000}"/>
    <cellStyle name="40% - Accent6 18 3 2" xfId="15037" xr:uid="{00000000-0005-0000-0000-00008B300000}"/>
    <cellStyle name="40% - Accent6 18 4" xfId="15038" xr:uid="{00000000-0005-0000-0000-00008C300000}"/>
    <cellStyle name="40% - Accent6 19" xfId="15039" xr:uid="{00000000-0005-0000-0000-00008D300000}"/>
    <cellStyle name="40% - Accent6 19 2" xfId="15040" xr:uid="{00000000-0005-0000-0000-00008E300000}"/>
    <cellStyle name="40% - Accent6 19 2 2" xfId="15041" xr:uid="{00000000-0005-0000-0000-00008F300000}"/>
    <cellStyle name="40% - Accent6 19 3" xfId="15042" xr:uid="{00000000-0005-0000-0000-000090300000}"/>
    <cellStyle name="40% - Accent6 2" xfId="79" xr:uid="{00000000-0005-0000-0000-000091300000}"/>
    <cellStyle name="40% - Accent6 2 10" xfId="1678" xr:uid="{00000000-0005-0000-0000-000092300000}"/>
    <cellStyle name="40% - Accent6 2 10 2" xfId="4652" xr:uid="{00000000-0005-0000-0000-000093300000}"/>
    <cellStyle name="40% - Accent6 2 10 2 2" xfId="15046" xr:uid="{00000000-0005-0000-0000-000094300000}"/>
    <cellStyle name="40% - Accent6 2 10 2 3" xfId="15045" xr:uid="{00000000-0005-0000-0000-000095300000}"/>
    <cellStyle name="40% - Accent6 2 10 3" xfId="15047" xr:uid="{00000000-0005-0000-0000-000096300000}"/>
    <cellStyle name="40% - Accent6 2 10 3 2" xfId="15048" xr:uid="{00000000-0005-0000-0000-000097300000}"/>
    <cellStyle name="40% - Accent6 2 10 4" xfId="15049" xr:uid="{00000000-0005-0000-0000-000098300000}"/>
    <cellStyle name="40% - Accent6 2 10 4 2" xfId="15050" xr:uid="{00000000-0005-0000-0000-000099300000}"/>
    <cellStyle name="40% - Accent6 2 10 5" xfId="15051" xr:uid="{00000000-0005-0000-0000-00009A300000}"/>
    <cellStyle name="40% - Accent6 2 10 5 2" xfId="15052" xr:uid="{00000000-0005-0000-0000-00009B300000}"/>
    <cellStyle name="40% - Accent6 2 10 6" xfId="15053" xr:uid="{00000000-0005-0000-0000-00009C300000}"/>
    <cellStyle name="40% - Accent6 2 10 7" xfId="15044" xr:uid="{00000000-0005-0000-0000-00009D300000}"/>
    <cellStyle name="40% - Accent6 2 11" xfId="2013" xr:uid="{00000000-0005-0000-0000-00009E300000}"/>
    <cellStyle name="40% - Accent6 2 11 2" xfId="4653" xr:uid="{00000000-0005-0000-0000-00009F300000}"/>
    <cellStyle name="40% - Accent6 2 11 2 2" xfId="15056" xr:uid="{00000000-0005-0000-0000-0000A0300000}"/>
    <cellStyle name="40% - Accent6 2 11 2 3" xfId="15055" xr:uid="{00000000-0005-0000-0000-0000A1300000}"/>
    <cellStyle name="40% - Accent6 2 11 3" xfId="15057" xr:uid="{00000000-0005-0000-0000-0000A2300000}"/>
    <cellStyle name="40% - Accent6 2 11 3 2" xfId="15058" xr:uid="{00000000-0005-0000-0000-0000A3300000}"/>
    <cellStyle name="40% - Accent6 2 11 4" xfId="15059" xr:uid="{00000000-0005-0000-0000-0000A4300000}"/>
    <cellStyle name="40% - Accent6 2 11 4 2" xfId="15060" xr:uid="{00000000-0005-0000-0000-0000A5300000}"/>
    <cellStyle name="40% - Accent6 2 11 5" xfId="15061" xr:uid="{00000000-0005-0000-0000-0000A6300000}"/>
    <cellStyle name="40% - Accent6 2 11 5 2" xfId="15062" xr:uid="{00000000-0005-0000-0000-0000A7300000}"/>
    <cellStyle name="40% - Accent6 2 11 6" xfId="15063" xr:uid="{00000000-0005-0000-0000-0000A8300000}"/>
    <cellStyle name="40% - Accent6 2 11 7" xfId="15054" xr:uid="{00000000-0005-0000-0000-0000A9300000}"/>
    <cellStyle name="40% - Accent6 2 12" xfId="2387" xr:uid="{00000000-0005-0000-0000-0000AA300000}"/>
    <cellStyle name="40% - Accent6 2 12 2" xfId="4654" xr:uid="{00000000-0005-0000-0000-0000AB300000}"/>
    <cellStyle name="40% - Accent6 2 12 2 2" xfId="15066" xr:uid="{00000000-0005-0000-0000-0000AC300000}"/>
    <cellStyle name="40% - Accent6 2 12 2 3" xfId="15065" xr:uid="{00000000-0005-0000-0000-0000AD300000}"/>
    <cellStyle name="40% - Accent6 2 12 3" xfId="15067" xr:uid="{00000000-0005-0000-0000-0000AE300000}"/>
    <cellStyle name="40% - Accent6 2 12 3 2" xfId="15068" xr:uid="{00000000-0005-0000-0000-0000AF300000}"/>
    <cellStyle name="40% - Accent6 2 12 4" xfId="15069" xr:uid="{00000000-0005-0000-0000-0000B0300000}"/>
    <cellStyle name="40% - Accent6 2 12 4 2" xfId="15070" xr:uid="{00000000-0005-0000-0000-0000B1300000}"/>
    <cellStyle name="40% - Accent6 2 12 5" xfId="15071" xr:uid="{00000000-0005-0000-0000-0000B2300000}"/>
    <cellStyle name="40% - Accent6 2 12 5 2" xfId="15072" xr:uid="{00000000-0005-0000-0000-0000B3300000}"/>
    <cellStyle name="40% - Accent6 2 12 6" xfId="15073" xr:uid="{00000000-0005-0000-0000-0000B4300000}"/>
    <cellStyle name="40% - Accent6 2 12 7" xfId="15064" xr:uid="{00000000-0005-0000-0000-0000B5300000}"/>
    <cellStyle name="40% - Accent6 2 13" xfId="2760" xr:uid="{00000000-0005-0000-0000-0000B6300000}"/>
    <cellStyle name="40% - Accent6 2 13 2" xfId="4655" xr:uid="{00000000-0005-0000-0000-0000B7300000}"/>
    <cellStyle name="40% - Accent6 2 13 2 2" xfId="15076" xr:uid="{00000000-0005-0000-0000-0000B8300000}"/>
    <cellStyle name="40% - Accent6 2 13 2 3" xfId="15075" xr:uid="{00000000-0005-0000-0000-0000B9300000}"/>
    <cellStyle name="40% - Accent6 2 13 3" xfId="15077" xr:uid="{00000000-0005-0000-0000-0000BA300000}"/>
    <cellStyle name="40% - Accent6 2 13 3 2" xfId="15078" xr:uid="{00000000-0005-0000-0000-0000BB300000}"/>
    <cellStyle name="40% - Accent6 2 13 4" xfId="15079" xr:uid="{00000000-0005-0000-0000-0000BC300000}"/>
    <cellStyle name="40% - Accent6 2 13 4 2" xfId="15080" xr:uid="{00000000-0005-0000-0000-0000BD300000}"/>
    <cellStyle name="40% - Accent6 2 13 5" xfId="15081" xr:uid="{00000000-0005-0000-0000-0000BE300000}"/>
    <cellStyle name="40% - Accent6 2 13 5 2" xfId="15082" xr:uid="{00000000-0005-0000-0000-0000BF300000}"/>
    <cellStyle name="40% - Accent6 2 13 6" xfId="15083" xr:uid="{00000000-0005-0000-0000-0000C0300000}"/>
    <cellStyle name="40% - Accent6 2 13 7" xfId="15074" xr:uid="{00000000-0005-0000-0000-0000C1300000}"/>
    <cellStyle name="40% - Accent6 2 14" xfId="3134" xr:uid="{00000000-0005-0000-0000-0000C2300000}"/>
    <cellStyle name="40% - Accent6 2 14 2" xfId="4656" xr:uid="{00000000-0005-0000-0000-0000C3300000}"/>
    <cellStyle name="40% - Accent6 2 14 2 2" xfId="15086" xr:uid="{00000000-0005-0000-0000-0000C4300000}"/>
    <cellStyle name="40% - Accent6 2 14 2 3" xfId="15085" xr:uid="{00000000-0005-0000-0000-0000C5300000}"/>
    <cellStyle name="40% - Accent6 2 14 3" xfId="15087" xr:uid="{00000000-0005-0000-0000-0000C6300000}"/>
    <cellStyle name="40% - Accent6 2 14 3 2" xfId="15088" xr:uid="{00000000-0005-0000-0000-0000C7300000}"/>
    <cellStyle name="40% - Accent6 2 14 4" xfId="15089" xr:uid="{00000000-0005-0000-0000-0000C8300000}"/>
    <cellStyle name="40% - Accent6 2 14 4 2" xfId="15090" xr:uid="{00000000-0005-0000-0000-0000C9300000}"/>
    <cellStyle name="40% - Accent6 2 14 5" xfId="15091" xr:uid="{00000000-0005-0000-0000-0000CA300000}"/>
    <cellStyle name="40% - Accent6 2 14 5 2" xfId="15092" xr:uid="{00000000-0005-0000-0000-0000CB300000}"/>
    <cellStyle name="40% - Accent6 2 14 6" xfId="15093" xr:uid="{00000000-0005-0000-0000-0000CC300000}"/>
    <cellStyle name="40% - Accent6 2 14 7" xfId="15084" xr:uid="{00000000-0005-0000-0000-0000CD300000}"/>
    <cellStyle name="40% - Accent6 2 15" xfId="3505" xr:uid="{00000000-0005-0000-0000-0000CE300000}"/>
    <cellStyle name="40% - Accent6 2 15 2" xfId="4657" xr:uid="{00000000-0005-0000-0000-0000CF300000}"/>
    <cellStyle name="40% - Accent6 2 15 2 2" xfId="15096" xr:uid="{00000000-0005-0000-0000-0000D0300000}"/>
    <cellStyle name="40% - Accent6 2 15 2 3" xfId="15095" xr:uid="{00000000-0005-0000-0000-0000D1300000}"/>
    <cellStyle name="40% - Accent6 2 15 3" xfId="15097" xr:uid="{00000000-0005-0000-0000-0000D2300000}"/>
    <cellStyle name="40% - Accent6 2 15 3 2" xfId="15098" xr:uid="{00000000-0005-0000-0000-0000D3300000}"/>
    <cellStyle name="40% - Accent6 2 15 4" xfId="15099" xr:uid="{00000000-0005-0000-0000-0000D4300000}"/>
    <cellStyle name="40% - Accent6 2 15 5" xfId="15094" xr:uid="{00000000-0005-0000-0000-0000D5300000}"/>
    <cellStyle name="40% - Accent6 2 16" xfId="3643" xr:uid="{00000000-0005-0000-0000-0000D6300000}"/>
    <cellStyle name="40% - Accent6 2 16 2" xfId="4658" xr:uid="{00000000-0005-0000-0000-0000D7300000}"/>
    <cellStyle name="40% - Accent6 2 16 2 2" xfId="15102" xr:uid="{00000000-0005-0000-0000-0000D8300000}"/>
    <cellStyle name="40% - Accent6 2 16 2 3" xfId="15101" xr:uid="{00000000-0005-0000-0000-0000D9300000}"/>
    <cellStyle name="40% - Accent6 2 16 3" xfId="15103" xr:uid="{00000000-0005-0000-0000-0000DA300000}"/>
    <cellStyle name="40% - Accent6 2 16 3 2" xfId="15104" xr:uid="{00000000-0005-0000-0000-0000DB300000}"/>
    <cellStyle name="40% - Accent6 2 16 4" xfId="15105" xr:uid="{00000000-0005-0000-0000-0000DC300000}"/>
    <cellStyle name="40% - Accent6 2 16 5" xfId="15100" xr:uid="{00000000-0005-0000-0000-0000DD300000}"/>
    <cellStyle name="40% - Accent6 2 17" xfId="15106" xr:uid="{00000000-0005-0000-0000-0000DE300000}"/>
    <cellStyle name="40% - Accent6 2 18" xfId="15043" xr:uid="{00000000-0005-0000-0000-0000DF300000}"/>
    <cellStyle name="40% - Accent6 2 19" xfId="24477" xr:uid="{00000000-0005-0000-0000-0000E0300000}"/>
    <cellStyle name="40% - Accent6 2 2" xfId="123" xr:uid="{00000000-0005-0000-0000-0000E1300000}"/>
    <cellStyle name="40% - Accent6 2 2 10" xfId="15108" xr:uid="{00000000-0005-0000-0000-0000E2300000}"/>
    <cellStyle name="40% - Accent6 2 2 10 2" xfId="15109" xr:uid="{00000000-0005-0000-0000-0000E3300000}"/>
    <cellStyle name="40% - Accent6 2 2 10 2 2" xfId="15110" xr:uid="{00000000-0005-0000-0000-0000E4300000}"/>
    <cellStyle name="40% - Accent6 2 2 10 3" xfId="15111" xr:uid="{00000000-0005-0000-0000-0000E5300000}"/>
    <cellStyle name="40% - Accent6 2 2 10 3 2" xfId="15112" xr:uid="{00000000-0005-0000-0000-0000E6300000}"/>
    <cellStyle name="40% - Accent6 2 2 10 4" xfId="15113" xr:uid="{00000000-0005-0000-0000-0000E7300000}"/>
    <cellStyle name="40% - Accent6 2 2 11" xfId="15114" xr:uid="{00000000-0005-0000-0000-0000E8300000}"/>
    <cellStyle name="40% - Accent6 2 2 11 2" xfId="15115" xr:uid="{00000000-0005-0000-0000-0000E9300000}"/>
    <cellStyle name="40% - Accent6 2 2 11 2 2" xfId="15116" xr:uid="{00000000-0005-0000-0000-0000EA300000}"/>
    <cellStyle name="40% - Accent6 2 2 11 3" xfId="15117" xr:uid="{00000000-0005-0000-0000-0000EB300000}"/>
    <cellStyle name="40% - Accent6 2 2 11 3 2" xfId="15118" xr:uid="{00000000-0005-0000-0000-0000EC300000}"/>
    <cellStyle name="40% - Accent6 2 2 11 4" xfId="15119" xr:uid="{00000000-0005-0000-0000-0000ED300000}"/>
    <cellStyle name="40% - Accent6 2 2 12" xfId="15120" xr:uid="{00000000-0005-0000-0000-0000EE300000}"/>
    <cellStyle name="40% - Accent6 2 2 12 2" xfId="15121" xr:uid="{00000000-0005-0000-0000-0000EF300000}"/>
    <cellStyle name="40% - Accent6 2 2 12 2 2" xfId="15122" xr:uid="{00000000-0005-0000-0000-0000F0300000}"/>
    <cellStyle name="40% - Accent6 2 2 12 3" xfId="15123" xr:uid="{00000000-0005-0000-0000-0000F1300000}"/>
    <cellStyle name="40% - Accent6 2 2 12 3 2" xfId="15124" xr:uid="{00000000-0005-0000-0000-0000F2300000}"/>
    <cellStyle name="40% - Accent6 2 2 12 4" xfId="15125" xr:uid="{00000000-0005-0000-0000-0000F3300000}"/>
    <cellStyle name="40% - Accent6 2 2 13" xfId="15126" xr:uid="{00000000-0005-0000-0000-0000F4300000}"/>
    <cellStyle name="40% - Accent6 2 2 13 2" xfId="15127" xr:uid="{00000000-0005-0000-0000-0000F5300000}"/>
    <cellStyle name="40% - Accent6 2 2 14" xfId="15128" xr:uid="{00000000-0005-0000-0000-0000F6300000}"/>
    <cellStyle name="40% - Accent6 2 2 14 2" xfId="15129" xr:uid="{00000000-0005-0000-0000-0000F7300000}"/>
    <cellStyle name="40% - Accent6 2 2 15" xfId="15130" xr:uid="{00000000-0005-0000-0000-0000F8300000}"/>
    <cellStyle name="40% - Accent6 2 2 15 2" xfId="15131" xr:uid="{00000000-0005-0000-0000-0000F9300000}"/>
    <cellStyle name="40% - Accent6 2 2 16" xfId="15132" xr:uid="{00000000-0005-0000-0000-0000FA300000}"/>
    <cellStyle name="40% - Accent6 2 2 17" xfId="15107" xr:uid="{00000000-0005-0000-0000-0000FB300000}"/>
    <cellStyle name="40% - Accent6 2 2 2" xfId="192" xr:uid="{00000000-0005-0000-0000-0000FC300000}"/>
    <cellStyle name="40% - Accent6 2 2 2 2" xfId="15134" xr:uid="{00000000-0005-0000-0000-0000FD300000}"/>
    <cellStyle name="40% - Accent6 2 2 2 2 2" xfId="15135" xr:uid="{00000000-0005-0000-0000-0000FE300000}"/>
    <cellStyle name="40% - Accent6 2 2 2 3" xfId="15136" xr:uid="{00000000-0005-0000-0000-0000FF300000}"/>
    <cellStyle name="40% - Accent6 2 2 2 3 2" xfId="15137" xr:uid="{00000000-0005-0000-0000-000000310000}"/>
    <cellStyle name="40% - Accent6 2 2 2 4" xfId="15138" xr:uid="{00000000-0005-0000-0000-000001310000}"/>
    <cellStyle name="40% - Accent6 2 2 2 5" xfId="15133" xr:uid="{00000000-0005-0000-0000-000002310000}"/>
    <cellStyle name="40% - Accent6 2 2 3" xfId="356" xr:uid="{00000000-0005-0000-0000-000003310000}"/>
    <cellStyle name="40% - Accent6 2 2 3 2" xfId="15140" xr:uid="{00000000-0005-0000-0000-000004310000}"/>
    <cellStyle name="40% - Accent6 2 2 3 2 2" xfId="15141" xr:uid="{00000000-0005-0000-0000-000005310000}"/>
    <cellStyle name="40% - Accent6 2 2 3 3" xfId="15142" xr:uid="{00000000-0005-0000-0000-000006310000}"/>
    <cellStyle name="40% - Accent6 2 2 3 3 2" xfId="15143" xr:uid="{00000000-0005-0000-0000-000007310000}"/>
    <cellStyle name="40% - Accent6 2 2 3 4" xfId="15144" xr:uid="{00000000-0005-0000-0000-000008310000}"/>
    <cellStyle name="40% - Accent6 2 2 3 5" xfId="15139" xr:uid="{00000000-0005-0000-0000-000009310000}"/>
    <cellStyle name="40% - Accent6 2 2 4" xfId="2178" xr:uid="{00000000-0005-0000-0000-00000A310000}"/>
    <cellStyle name="40% - Accent6 2 2 4 2" xfId="15146" xr:uid="{00000000-0005-0000-0000-00000B310000}"/>
    <cellStyle name="40% - Accent6 2 2 4 2 2" xfId="15147" xr:uid="{00000000-0005-0000-0000-00000C310000}"/>
    <cellStyle name="40% - Accent6 2 2 4 3" xfId="15148" xr:uid="{00000000-0005-0000-0000-00000D310000}"/>
    <cellStyle name="40% - Accent6 2 2 4 3 2" xfId="15149" xr:uid="{00000000-0005-0000-0000-00000E310000}"/>
    <cellStyle name="40% - Accent6 2 2 4 4" xfId="15150" xr:uid="{00000000-0005-0000-0000-00000F310000}"/>
    <cellStyle name="40% - Accent6 2 2 4 5" xfId="15145" xr:uid="{00000000-0005-0000-0000-000010310000}"/>
    <cellStyle name="40% - Accent6 2 2 5" xfId="2552" xr:uid="{00000000-0005-0000-0000-000011310000}"/>
    <cellStyle name="40% - Accent6 2 2 5 2" xfId="15152" xr:uid="{00000000-0005-0000-0000-000012310000}"/>
    <cellStyle name="40% - Accent6 2 2 5 2 2" xfId="15153" xr:uid="{00000000-0005-0000-0000-000013310000}"/>
    <cellStyle name="40% - Accent6 2 2 5 3" xfId="15154" xr:uid="{00000000-0005-0000-0000-000014310000}"/>
    <cellStyle name="40% - Accent6 2 2 5 3 2" xfId="15155" xr:uid="{00000000-0005-0000-0000-000015310000}"/>
    <cellStyle name="40% - Accent6 2 2 5 4" xfId="15156" xr:uid="{00000000-0005-0000-0000-000016310000}"/>
    <cellStyle name="40% - Accent6 2 2 5 5" xfId="15151" xr:uid="{00000000-0005-0000-0000-000017310000}"/>
    <cellStyle name="40% - Accent6 2 2 6" xfId="2924" xr:uid="{00000000-0005-0000-0000-000018310000}"/>
    <cellStyle name="40% - Accent6 2 2 6 2" xfId="15158" xr:uid="{00000000-0005-0000-0000-000019310000}"/>
    <cellStyle name="40% - Accent6 2 2 6 2 2" xfId="15159" xr:uid="{00000000-0005-0000-0000-00001A310000}"/>
    <cellStyle name="40% - Accent6 2 2 6 3" xfId="15160" xr:uid="{00000000-0005-0000-0000-00001B310000}"/>
    <cellStyle name="40% - Accent6 2 2 6 3 2" xfId="15161" xr:uid="{00000000-0005-0000-0000-00001C310000}"/>
    <cellStyle name="40% - Accent6 2 2 6 4" xfId="15162" xr:uid="{00000000-0005-0000-0000-00001D310000}"/>
    <cellStyle name="40% - Accent6 2 2 6 5" xfId="15157" xr:uid="{00000000-0005-0000-0000-00001E310000}"/>
    <cellStyle name="40% - Accent6 2 2 7" xfId="3296" xr:uid="{00000000-0005-0000-0000-00001F310000}"/>
    <cellStyle name="40% - Accent6 2 2 7 2" xfId="15164" xr:uid="{00000000-0005-0000-0000-000020310000}"/>
    <cellStyle name="40% - Accent6 2 2 7 2 2" xfId="15165" xr:uid="{00000000-0005-0000-0000-000021310000}"/>
    <cellStyle name="40% - Accent6 2 2 7 3" xfId="15166" xr:uid="{00000000-0005-0000-0000-000022310000}"/>
    <cellStyle name="40% - Accent6 2 2 7 3 2" xfId="15167" xr:uid="{00000000-0005-0000-0000-000023310000}"/>
    <cellStyle name="40% - Accent6 2 2 7 4" xfId="15168" xr:uid="{00000000-0005-0000-0000-000024310000}"/>
    <cellStyle name="40% - Accent6 2 2 7 5" xfId="15163" xr:uid="{00000000-0005-0000-0000-000025310000}"/>
    <cellStyle name="40% - Accent6 2 2 8" xfId="4659" xr:uid="{00000000-0005-0000-0000-000026310000}"/>
    <cellStyle name="40% - Accent6 2 2 8 2" xfId="15170" xr:uid="{00000000-0005-0000-0000-000027310000}"/>
    <cellStyle name="40% - Accent6 2 2 8 2 2" xfId="15171" xr:uid="{00000000-0005-0000-0000-000028310000}"/>
    <cellStyle name="40% - Accent6 2 2 8 3" xfId="15172" xr:uid="{00000000-0005-0000-0000-000029310000}"/>
    <cellStyle name="40% - Accent6 2 2 8 3 2" xfId="15173" xr:uid="{00000000-0005-0000-0000-00002A310000}"/>
    <cellStyle name="40% - Accent6 2 2 8 4" xfId="15174" xr:uid="{00000000-0005-0000-0000-00002B310000}"/>
    <cellStyle name="40% - Accent6 2 2 8 5" xfId="15169" xr:uid="{00000000-0005-0000-0000-00002C310000}"/>
    <cellStyle name="40% - Accent6 2 2 9" xfId="15175" xr:uid="{00000000-0005-0000-0000-00002D310000}"/>
    <cellStyle name="40% - Accent6 2 2 9 2" xfId="15176" xr:uid="{00000000-0005-0000-0000-00002E310000}"/>
    <cellStyle name="40% - Accent6 2 2 9 2 2" xfId="15177" xr:uid="{00000000-0005-0000-0000-00002F310000}"/>
    <cellStyle name="40% - Accent6 2 2 9 3" xfId="15178" xr:uid="{00000000-0005-0000-0000-000030310000}"/>
    <cellStyle name="40% - Accent6 2 2 9 3 2" xfId="15179" xr:uid="{00000000-0005-0000-0000-000031310000}"/>
    <cellStyle name="40% - Accent6 2 2 9 4" xfId="15180" xr:uid="{00000000-0005-0000-0000-000032310000}"/>
    <cellStyle name="40% - Accent6 2 3" xfId="288" xr:uid="{00000000-0005-0000-0000-000033310000}"/>
    <cellStyle name="40% - Accent6 2 3 2" xfId="1354" xr:uid="{00000000-0005-0000-0000-000034310000}"/>
    <cellStyle name="40% - Accent6 2 3 2 2" xfId="15183" xr:uid="{00000000-0005-0000-0000-000035310000}"/>
    <cellStyle name="40% - Accent6 2 3 2 2 2" xfId="15184" xr:uid="{00000000-0005-0000-0000-000036310000}"/>
    <cellStyle name="40% - Accent6 2 3 2 3" xfId="15185" xr:uid="{00000000-0005-0000-0000-000037310000}"/>
    <cellStyle name="40% - Accent6 2 3 2 3 2" xfId="15186" xr:uid="{00000000-0005-0000-0000-000038310000}"/>
    <cellStyle name="40% - Accent6 2 3 2 4" xfId="15187" xr:uid="{00000000-0005-0000-0000-000039310000}"/>
    <cellStyle name="40% - Accent6 2 3 2 5" xfId="15182" xr:uid="{00000000-0005-0000-0000-00003A310000}"/>
    <cellStyle name="40% - Accent6 2 3 3" xfId="15188" xr:uid="{00000000-0005-0000-0000-00003B310000}"/>
    <cellStyle name="40% - Accent6 2 3 3 2" xfId="15189" xr:uid="{00000000-0005-0000-0000-00003C310000}"/>
    <cellStyle name="40% - Accent6 2 3 4" xfId="15190" xr:uid="{00000000-0005-0000-0000-00003D310000}"/>
    <cellStyle name="40% - Accent6 2 3 4 2" xfId="15191" xr:uid="{00000000-0005-0000-0000-00003E310000}"/>
    <cellStyle name="40% - Accent6 2 3 5" xfId="15192" xr:uid="{00000000-0005-0000-0000-00003F310000}"/>
    <cellStyle name="40% - Accent6 2 3 6" xfId="15181" xr:uid="{00000000-0005-0000-0000-000040310000}"/>
    <cellStyle name="40% - Accent6 2 4" xfId="402" xr:uid="{00000000-0005-0000-0000-000041310000}"/>
    <cellStyle name="40% - Accent6 2 4 2" xfId="15194" xr:uid="{00000000-0005-0000-0000-000042310000}"/>
    <cellStyle name="40% - Accent6 2 4 2 2" xfId="15195" xr:uid="{00000000-0005-0000-0000-000043310000}"/>
    <cellStyle name="40% - Accent6 2 4 2 2 2" xfId="15196" xr:uid="{00000000-0005-0000-0000-000044310000}"/>
    <cellStyle name="40% - Accent6 2 4 2 3" xfId="15197" xr:uid="{00000000-0005-0000-0000-000045310000}"/>
    <cellStyle name="40% - Accent6 2 4 2 3 2" xfId="15198" xr:uid="{00000000-0005-0000-0000-000046310000}"/>
    <cellStyle name="40% - Accent6 2 4 2 4" xfId="15199" xr:uid="{00000000-0005-0000-0000-000047310000}"/>
    <cellStyle name="40% - Accent6 2 4 3" xfId="15200" xr:uid="{00000000-0005-0000-0000-000048310000}"/>
    <cellStyle name="40% - Accent6 2 4 3 2" xfId="15201" xr:uid="{00000000-0005-0000-0000-000049310000}"/>
    <cellStyle name="40% - Accent6 2 4 4" xfId="15202" xr:uid="{00000000-0005-0000-0000-00004A310000}"/>
    <cellStyle name="40% - Accent6 2 4 4 2" xfId="15203" xr:uid="{00000000-0005-0000-0000-00004B310000}"/>
    <cellStyle name="40% - Accent6 2 4 5" xfId="15204" xr:uid="{00000000-0005-0000-0000-00004C310000}"/>
    <cellStyle name="40% - Accent6 2 4 6" xfId="15193" xr:uid="{00000000-0005-0000-0000-00004D310000}"/>
    <cellStyle name="40% - Accent6 2 5" xfId="552" xr:uid="{00000000-0005-0000-0000-00004E310000}"/>
    <cellStyle name="40% - Accent6 2 5 2" xfId="15206" xr:uid="{00000000-0005-0000-0000-00004F310000}"/>
    <cellStyle name="40% - Accent6 2 5 2 2" xfId="15207" xr:uid="{00000000-0005-0000-0000-000050310000}"/>
    <cellStyle name="40% - Accent6 2 5 3" xfId="15208" xr:uid="{00000000-0005-0000-0000-000051310000}"/>
    <cellStyle name="40% - Accent6 2 5 3 2" xfId="15209" xr:uid="{00000000-0005-0000-0000-000052310000}"/>
    <cellStyle name="40% - Accent6 2 5 4" xfId="15210" xr:uid="{00000000-0005-0000-0000-000053310000}"/>
    <cellStyle name="40% - Accent6 2 5 5" xfId="15205" xr:uid="{00000000-0005-0000-0000-000054310000}"/>
    <cellStyle name="40% - Accent6 2 6" xfId="686" xr:uid="{00000000-0005-0000-0000-000055310000}"/>
    <cellStyle name="40% - Accent6 2 6 2" xfId="15212" xr:uid="{00000000-0005-0000-0000-000056310000}"/>
    <cellStyle name="40% - Accent6 2 6 2 2" xfId="15213" xr:uid="{00000000-0005-0000-0000-000057310000}"/>
    <cellStyle name="40% - Accent6 2 6 3" xfId="15214" xr:uid="{00000000-0005-0000-0000-000058310000}"/>
    <cellStyle name="40% - Accent6 2 6 3 2" xfId="15215" xr:uid="{00000000-0005-0000-0000-000059310000}"/>
    <cellStyle name="40% - Accent6 2 6 4" xfId="15216" xr:uid="{00000000-0005-0000-0000-00005A310000}"/>
    <cellStyle name="40% - Accent6 2 6 5" xfId="15211" xr:uid="{00000000-0005-0000-0000-00005B310000}"/>
    <cellStyle name="40% - Accent6 2 7" xfId="687" xr:uid="{00000000-0005-0000-0000-00005C310000}"/>
    <cellStyle name="40% - Accent6 2 7 2" xfId="15218" xr:uid="{00000000-0005-0000-0000-00005D310000}"/>
    <cellStyle name="40% - Accent6 2 7 2 2" xfId="15219" xr:uid="{00000000-0005-0000-0000-00005E310000}"/>
    <cellStyle name="40% - Accent6 2 7 3" xfId="15220" xr:uid="{00000000-0005-0000-0000-00005F310000}"/>
    <cellStyle name="40% - Accent6 2 7 3 2" xfId="15221" xr:uid="{00000000-0005-0000-0000-000060310000}"/>
    <cellStyle name="40% - Accent6 2 7 4" xfId="15222" xr:uid="{00000000-0005-0000-0000-000061310000}"/>
    <cellStyle name="40% - Accent6 2 7 5" xfId="15217" xr:uid="{00000000-0005-0000-0000-000062310000}"/>
    <cellStyle name="40% - Accent6 2 8" xfId="833" xr:uid="{00000000-0005-0000-0000-000063310000}"/>
    <cellStyle name="40% - Accent6 2 8 2" xfId="1407" xr:uid="{00000000-0005-0000-0000-000064310000}"/>
    <cellStyle name="40% - Accent6 2 8 2 2" xfId="15225" xr:uid="{00000000-0005-0000-0000-000065310000}"/>
    <cellStyle name="40% - Accent6 2 8 2 3" xfId="15224" xr:uid="{00000000-0005-0000-0000-000066310000}"/>
    <cellStyle name="40% - Accent6 2 8 3" xfId="15226" xr:uid="{00000000-0005-0000-0000-000067310000}"/>
    <cellStyle name="40% - Accent6 2 8 3 2" xfId="15227" xr:uid="{00000000-0005-0000-0000-000068310000}"/>
    <cellStyle name="40% - Accent6 2 8 4" xfId="15228" xr:uid="{00000000-0005-0000-0000-000069310000}"/>
    <cellStyle name="40% - Accent6 2 8 4 2" xfId="15229" xr:uid="{00000000-0005-0000-0000-00006A310000}"/>
    <cellStyle name="40% - Accent6 2 8 5" xfId="15230" xr:uid="{00000000-0005-0000-0000-00006B310000}"/>
    <cellStyle name="40% - Accent6 2 8 5 2" xfId="15231" xr:uid="{00000000-0005-0000-0000-00006C310000}"/>
    <cellStyle name="40% - Accent6 2 8 6" xfId="15232" xr:uid="{00000000-0005-0000-0000-00006D310000}"/>
    <cellStyle name="40% - Accent6 2 8 7" xfId="15223" xr:uid="{00000000-0005-0000-0000-00006E310000}"/>
    <cellStyle name="40% - Accent6 2 9" xfId="944" xr:uid="{00000000-0005-0000-0000-00006F310000}"/>
    <cellStyle name="40% - Accent6 2 9 2" xfId="1439" xr:uid="{00000000-0005-0000-0000-000070310000}"/>
    <cellStyle name="40% - Accent6 2 9 2 2" xfId="15235" xr:uid="{00000000-0005-0000-0000-000071310000}"/>
    <cellStyle name="40% - Accent6 2 9 2 3" xfId="15234" xr:uid="{00000000-0005-0000-0000-000072310000}"/>
    <cellStyle name="40% - Accent6 2 9 3" xfId="15236" xr:uid="{00000000-0005-0000-0000-000073310000}"/>
    <cellStyle name="40% - Accent6 2 9 3 2" xfId="15237" xr:uid="{00000000-0005-0000-0000-000074310000}"/>
    <cellStyle name="40% - Accent6 2 9 4" xfId="15238" xr:uid="{00000000-0005-0000-0000-000075310000}"/>
    <cellStyle name="40% - Accent6 2 9 4 2" xfId="15239" xr:uid="{00000000-0005-0000-0000-000076310000}"/>
    <cellStyle name="40% - Accent6 2 9 5" xfId="15240" xr:uid="{00000000-0005-0000-0000-000077310000}"/>
    <cellStyle name="40% - Accent6 2 9 5 2" xfId="15241" xr:uid="{00000000-0005-0000-0000-000078310000}"/>
    <cellStyle name="40% - Accent6 2 9 6" xfId="15242" xr:uid="{00000000-0005-0000-0000-000079310000}"/>
    <cellStyle name="40% - Accent6 2 9 7" xfId="15233" xr:uid="{00000000-0005-0000-0000-00007A310000}"/>
    <cellStyle name="40% - Accent6 20" xfId="15243" xr:uid="{00000000-0005-0000-0000-00007B310000}"/>
    <cellStyle name="40% - Accent6 20 2" xfId="15244" xr:uid="{00000000-0005-0000-0000-00007C310000}"/>
    <cellStyle name="40% - Accent6 21" xfId="15245" xr:uid="{00000000-0005-0000-0000-00007D310000}"/>
    <cellStyle name="40% - Accent6 21 2" xfId="15246" xr:uid="{00000000-0005-0000-0000-00007E310000}"/>
    <cellStyle name="40% - Accent6 21 2 2" xfId="15247" xr:uid="{00000000-0005-0000-0000-00007F310000}"/>
    <cellStyle name="40% - Accent6 21 2 2 2" xfId="15248" xr:uid="{00000000-0005-0000-0000-000080310000}"/>
    <cellStyle name="40% - Accent6 21 2 3" xfId="15249" xr:uid="{00000000-0005-0000-0000-000081310000}"/>
    <cellStyle name="40% - Accent6 21 2 3 2" xfId="15250" xr:uid="{00000000-0005-0000-0000-000082310000}"/>
    <cellStyle name="40% - Accent6 21 2 4" xfId="15251" xr:uid="{00000000-0005-0000-0000-000083310000}"/>
    <cellStyle name="40% - Accent6 21 3" xfId="15252" xr:uid="{00000000-0005-0000-0000-000084310000}"/>
    <cellStyle name="40% - Accent6 21 3 2" xfId="15253" xr:uid="{00000000-0005-0000-0000-000085310000}"/>
    <cellStyle name="40% - Accent6 21 4" xfId="15254" xr:uid="{00000000-0005-0000-0000-000086310000}"/>
    <cellStyle name="40% - Accent6 21 4 2" xfId="15255" xr:uid="{00000000-0005-0000-0000-000087310000}"/>
    <cellStyle name="40% - Accent6 21 5" xfId="15256" xr:uid="{00000000-0005-0000-0000-000088310000}"/>
    <cellStyle name="40% - Accent6 22" xfId="15257" xr:uid="{00000000-0005-0000-0000-000089310000}"/>
    <cellStyle name="40% - Accent6 22 2" xfId="15258" xr:uid="{00000000-0005-0000-0000-00008A310000}"/>
    <cellStyle name="40% - Accent6 22 2 2" xfId="15259" xr:uid="{00000000-0005-0000-0000-00008B310000}"/>
    <cellStyle name="40% - Accent6 22 2 2 2" xfId="15260" xr:uid="{00000000-0005-0000-0000-00008C310000}"/>
    <cellStyle name="40% - Accent6 22 2 3" xfId="15261" xr:uid="{00000000-0005-0000-0000-00008D310000}"/>
    <cellStyle name="40% - Accent6 22 2 3 2" xfId="15262" xr:uid="{00000000-0005-0000-0000-00008E310000}"/>
    <cellStyle name="40% - Accent6 22 2 4" xfId="15263" xr:uid="{00000000-0005-0000-0000-00008F310000}"/>
    <cellStyle name="40% - Accent6 22 3" xfId="15264" xr:uid="{00000000-0005-0000-0000-000090310000}"/>
    <cellStyle name="40% - Accent6 22 3 2" xfId="15265" xr:uid="{00000000-0005-0000-0000-000091310000}"/>
    <cellStyle name="40% - Accent6 22 4" xfId="15266" xr:uid="{00000000-0005-0000-0000-000092310000}"/>
    <cellStyle name="40% - Accent6 22 4 2" xfId="15267" xr:uid="{00000000-0005-0000-0000-000093310000}"/>
    <cellStyle name="40% - Accent6 22 5" xfId="15268" xr:uid="{00000000-0005-0000-0000-000094310000}"/>
    <cellStyle name="40% - Accent6 23" xfId="15269" xr:uid="{00000000-0005-0000-0000-000095310000}"/>
    <cellStyle name="40% - Accent6 23 2" xfId="15270" xr:uid="{00000000-0005-0000-0000-000096310000}"/>
    <cellStyle name="40% - Accent6 24" xfId="15271" xr:uid="{00000000-0005-0000-0000-000097310000}"/>
    <cellStyle name="40% - Accent6 24 2" xfId="15272" xr:uid="{00000000-0005-0000-0000-000098310000}"/>
    <cellStyle name="40% - Accent6 24 2 2" xfId="15273" xr:uid="{00000000-0005-0000-0000-000099310000}"/>
    <cellStyle name="40% - Accent6 24 2 2 2" xfId="15274" xr:uid="{00000000-0005-0000-0000-00009A310000}"/>
    <cellStyle name="40% - Accent6 24 2 3" xfId="15275" xr:uid="{00000000-0005-0000-0000-00009B310000}"/>
    <cellStyle name="40% - Accent6 24 2 3 2" xfId="15276" xr:uid="{00000000-0005-0000-0000-00009C310000}"/>
    <cellStyle name="40% - Accent6 24 2 4" xfId="15277" xr:uid="{00000000-0005-0000-0000-00009D310000}"/>
    <cellStyle name="40% - Accent6 24 3" xfId="15278" xr:uid="{00000000-0005-0000-0000-00009E310000}"/>
    <cellStyle name="40% - Accent6 24 3 2" xfId="15279" xr:uid="{00000000-0005-0000-0000-00009F310000}"/>
    <cellStyle name="40% - Accent6 24 4" xfId="15280" xr:uid="{00000000-0005-0000-0000-0000A0310000}"/>
    <cellStyle name="40% - Accent6 24 4 2" xfId="15281" xr:uid="{00000000-0005-0000-0000-0000A1310000}"/>
    <cellStyle name="40% - Accent6 24 5" xfId="15282" xr:uid="{00000000-0005-0000-0000-0000A2310000}"/>
    <cellStyle name="40% - Accent6 25" xfId="15283" xr:uid="{00000000-0005-0000-0000-0000A3310000}"/>
    <cellStyle name="40% - Accent6 25 2" xfId="15284" xr:uid="{00000000-0005-0000-0000-0000A4310000}"/>
    <cellStyle name="40% - Accent6 25 2 2" xfId="15285" xr:uid="{00000000-0005-0000-0000-0000A5310000}"/>
    <cellStyle name="40% - Accent6 25 2 2 2" xfId="15286" xr:uid="{00000000-0005-0000-0000-0000A6310000}"/>
    <cellStyle name="40% - Accent6 25 2 3" xfId="15287" xr:uid="{00000000-0005-0000-0000-0000A7310000}"/>
    <cellStyle name="40% - Accent6 25 2 3 2" xfId="15288" xr:uid="{00000000-0005-0000-0000-0000A8310000}"/>
    <cellStyle name="40% - Accent6 25 2 4" xfId="15289" xr:uid="{00000000-0005-0000-0000-0000A9310000}"/>
    <cellStyle name="40% - Accent6 25 3" xfId="15290" xr:uid="{00000000-0005-0000-0000-0000AA310000}"/>
    <cellStyle name="40% - Accent6 25 3 2" xfId="15291" xr:uid="{00000000-0005-0000-0000-0000AB310000}"/>
    <cellStyle name="40% - Accent6 25 4" xfId="15292" xr:uid="{00000000-0005-0000-0000-0000AC310000}"/>
    <cellStyle name="40% - Accent6 25 4 2" xfId="15293" xr:uid="{00000000-0005-0000-0000-0000AD310000}"/>
    <cellStyle name="40% - Accent6 25 5" xfId="15294" xr:uid="{00000000-0005-0000-0000-0000AE310000}"/>
    <cellStyle name="40% - Accent6 26" xfId="15295" xr:uid="{00000000-0005-0000-0000-0000AF310000}"/>
    <cellStyle name="40% - Accent6 26 2" xfId="15296" xr:uid="{00000000-0005-0000-0000-0000B0310000}"/>
    <cellStyle name="40% - Accent6 27" xfId="15297" xr:uid="{00000000-0005-0000-0000-0000B1310000}"/>
    <cellStyle name="40% - Accent6 27 2" xfId="15298" xr:uid="{00000000-0005-0000-0000-0000B2310000}"/>
    <cellStyle name="40% - Accent6 27 2 2" xfId="15299" xr:uid="{00000000-0005-0000-0000-0000B3310000}"/>
    <cellStyle name="40% - Accent6 27 2 2 2" xfId="15300" xr:uid="{00000000-0005-0000-0000-0000B4310000}"/>
    <cellStyle name="40% - Accent6 27 2 3" xfId="15301" xr:uid="{00000000-0005-0000-0000-0000B5310000}"/>
    <cellStyle name="40% - Accent6 27 2 3 2" xfId="15302" xr:uid="{00000000-0005-0000-0000-0000B6310000}"/>
    <cellStyle name="40% - Accent6 27 2 4" xfId="15303" xr:uid="{00000000-0005-0000-0000-0000B7310000}"/>
    <cellStyle name="40% - Accent6 27 3" xfId="15304" xr:uid="{00000000-0005-0000-0000-0000B8310000}"/>
    <cellStyle name="40% - Accent6 27 3 2" xfId="15305" xr:uid="{00000000-0005-0000-0000-0000B9310000}"/>
    <cellStyle name="40% - Accent6 27 4" xfId="15306" xr:uid="{00000000-0005-0000-0000-0000BA310000}"/>
    <cellStyle name="40% - Accent6 27 4 2" xfId="15307" xr:uid="{00000000-0005-0000-0000-0000BB310000}"/>
    <cellStyle name="40% - Accent6 27 5" xfId="15308" xr:uid="{00000000-0005-0000-0000-0000BC310000}"/>
    <cellStyle name="40% - Accent6 28" xfId="15309" xr:uid="{00000000-0005-0000-0000-0000BD310000}"/>
    <cellStyle name="40% - Accent6 28 2" xfId="15310" xr:uid="{00000000-0005-0000-0000-0000BE310000}"/>
    <cellStyle name="40% - Accent6 28 2 2" xfId="15311" xr:uid="{00000000-0005-0000-0000-0000BF310000}"/>
    <cellStyle name="40% - Accent6 28 3" xfId="15312" xr:uid="{00000000-0005-0000-0000-0000C0310000}"/>
    <cellStyle name="40% - Accent6 28 3 2" xfId="15313" xr:uid="{00000000-0005-0000-0000-0000C1310000}"/>
    <cellStyle name="40% - Accent6 28 4" xfId="15314" xr:uid="{00000000-0005-0000-0000-0000C2310000}"/>
    <cellStyle name="40% - Accent6 29" xfId="15315" xr:uid="{00000000-0005-0000-0000-0000C3310000}"/>
    <cellStyle name="40% - Accent6 29 2" xfId="15316" xr:uid="{00000000-0005-0000-0000-0000C4310000}"/>
    <cellStyle name="40% - Accent6 3" xfId="233" xr:uid="{00000000-0005-0000-0000-0000C5310000}"/>
    <cellStyle name="40% - Accent6 3 10" xfId="3686" xr:uid="{00000000-0005-0000-0000-0000C6310000}"/>
    <cellStyle name="40% - Accent6 3 10 2" xfId="4660" xr:uid="{00000000-0005-0000-0000-0000C7310000}"/>
    <cellStyle name="40% - Accent6 3 10 2 2" xfId="15320" xr:uid="{00000000-0005-0000-0000-0000C8310000}"/>
    <cellStyle name="40% - Accent6 3 10 2 3" xfId="15319" xr:uid="{00000000-0005-0000-0000-0000C9310000}"/>
    <cellStyle name="40% - Accent6 3 10 3" xfId="15321" xr:uid="{00000000-0005-0000-0000-0000CA310000}"/>
    <cellStyle name="40% - Accent6 3 10 3 2" xfId="15322" xr:uid="{00000000-0005-0000-0000-0000CB310000}"/>
    <cellStyle name="40% - Accent6 3 10 4" xfId="15323" xr:uid="{00000000-0005-0000-0000-0000CC310000}"/>
    <cellStyle name="40% - Accent6 3 10 4 2" xfId="15324" xr:uid="{00000000-0005-0000-0000-0000CD310000}"/>
    <cellStyle name="40% - Accent6 3 10 5" xfId="15325" xr:uid="{00000000-0005-0000-0000-0000CE310000}"/>
    <cellStyle name="40% - Accent6 3 10 5 2" xfId="15326" xr:uid="{00000000-0005-0000-0000-0000CF310000}"/>
    <cellStyle name="40% - Accent6 3 10 6" xfId="15327" xr:uid="{00000000-0005-0000-0000-0000D0310000}"/>
    <cellStyle name="40% - Accent6 3 10 7" xfId="15318" xr:uid="{00000000-0005-0000-0000-0000D1310000}"/>
    <cellStyle name="40% - Accent6 3 11" xfId="15328" xr:uid="{00000000-0005-0000-0000-0000D2310000}"/>
    <cellStyle name="40% - Accent6 3 11 2" xfId="15329" xr:uid="{00000000-0005-0000-0000-0000D3310000}"/>
    <cellStyle name="40% - Accent6 3 11 2 2" xfId="15330" xr:uid="{00000000-0005-0000-0000-0000D4310000}"/>
    <cellStyle name="40% - Accent6 3 11 3" xfId="15331" xr:uid="{00000000-0005-0000-0000-0000D5310000}"/>
    <cellStyle name="40% - Accent6 3 11 3 2" xfId="15332" xr:uid="{00000000-0005-0000-0000-0000D6310000}"/>
    <cellStyle name="40% - Accent6 3 11 4" xfId="15333" xr:uid="{00000000-0005-0000-0000-0000D7310000}"/>
    <cellStyle name="40% - Accent6 3 12" xfId="15334" xr:uid="{00000000-0005-0000-0000-0000D8310000}"/>
    <cellStyle name="40% - Accent6 3 12 2" xfId="15335" xr:uid="{00000000-0005-0000-0000-0000D9310000}"/>
    <cellStyle name="40% - Accent6 3 12 2 2" xfId="15336" xr:uid="{00000000-0005-0000-0000-0000DA310000}"/>
    <cellStyle name="40% - Accent6 3 12 3" xfId="15337" xr:uid="{00000000-0005-0000-0000-0000DB310000}"/>
    <cellStyle name="40% - Accent6 3 12 3 2" xfId="15338" xr:uid="{00000000-0005-0000-0000-0000DC310000}"/>
    <cellStyle name="40% - Accent6 3 12 4" xfId="15339" xr:uid="{00000000-0005-0000-0000-0000DD310000}"/>
    <cellStyle name="40% - Accent6 3 13" xfId="15340" xr:uid="{00000000-0005-0000-0000-0000DE310000}"/>
    <cellStyle name="40% - Accent6 3 13 2" xfId="15341" xr:uid="{00000000-0005-0000-0000-0000DF310000}"/>
    <cellStyle name="40% - Accent6 3 13 2 2" xfId="15342" xr:uid="{00000000-0005-0000-0000-0000E0310000}"/>
    <cellStyle name="40% - Accent6 3 13 3" xfId="15343" xr:uid="{00000000-0005-0000-0000-0000E1310000}"/>
    <cellStyle name="40% - Accent6 3 13 3 2" xfId="15344" xr:uid="{00000000-0005-0000-0000-0000E2310000}"/>
    <cellStyle name="40% - Accent6 3 13 4" xfId="15345" xr:uid="{00000000-0005-0000-0000-0000E3310000}"/>
    <cellStyle name="40% - Accent6 3 14" xfId="15346" xr:uid="{00000000-0005-0000-0000-0000E4310000}"/>
    <cellStyle name="40% - Accent6 3 14 2" xfId="15347" xr:uid="{00000000-0005-0000-0000-0000E5310000}"/>
    <cellStyle name="40% - Accent6 3 15" xfId="15348" xr:uid="{00000000-0005-0000-0000-0000E6310000}"/>
    <cellStyle name="40% - Accent6 3 15 2" xfId="15349" xr:uid="{00000000-0005-0000-0000-0000E7310000}"/>
    <cellStyle name="40% - Accent6 3 16" xfId="15350" xr:uid="{00000000-0005-0000-0000-0000E8310000}"/>
    <cellStyle name="40% - Accent6 3 17" xfId="15317" xr:uid="{00000000-0005-0000-0000-0000E9310000}"/>
    <cellStyle name="40% - Accent6 3 2" xfId="1459" xr:uid="{00000000-0005-0000-0000-0000EA310000}"/>
    <cellStyle name="40% - Accent6 3 2 10" xfId="15352" xr:uid="{00000000-0005-0000-0000-0000EB310000}"/>
    <cellStyle name="40% - Accent6 3 2 10 2" xfId="15353" xr:uid="{00000000-0005-0000-0000-0000EC310000}"/>
    <cellStyle name="40% - Accent6 3 2 10 2 2" xfId="15354" xr:uid="{00000000-0005-0000-0000-0000ED310000}"/>
    <cellStyle name="40% - Accent6 3 2 10 3" xfId="15355" xr:uid="{00000000-0005-0000-0000-0000EE310000}"/>
    <cellStyle name="40% - Accent6 3 2 10 3 2" xfId="15356" xr:uid="{00000000-0005-0000-0000-0000EF310000}"/>
    <cellStyle name="40% - Accent6 3 2 10 4" xfId="15357" xr:uid="{00000000-0005-0000-0000-0000F0310000}"/>
    <cellStyle name="40% - Accent6 3 2 11" xfId="15358" xr:uid="{00000000-0005-0000-0000-0000F1310000}"/>
    <cellStyle name="40% - Accent6 3 2 11 2" xfId="15359" xr:uid="{00000000-0005-0000-0000-0000F2310000}"/>
    <cellStyle name="40% - Accent6 3 2 11 2 2" xfId="15360" xr:uid="{00000000-0005-0000-0000-0000F3310000}"/>
    <cellStyle name="40% - Accent6 3 2 11 3" xfId="15361" xr:uid="{00000000-0005-0000-0000-0000F4310000}"/>
    <cellStyle name="40% - Accent6 3 2 11 3 2" xfId="15362" xr:uid="{00000000-0005-0000-0000-0000F5310000}"/>
    <cellStyle name="40% - Accent6 3 2 11 4" xfId="15363" xr:uid="{00000000-0005-0000-0000-0000F6310000}"/>
    <cellStyle name="40% - Accent6 3 2 12" xfId="15364" xr:uid="{00000000-0005-0000-0000-0000F7310000}"/>
    <cellStyle name="40% - Accent6 3 2 12 2" xfId="15365" xr:uid="{00000000-0005-0000-0000-0000F8310000}"/>
    <cellStyle name="40% - Accent6 3 2 12 2 2" xfId="15366" xr:uid="{00000000-0005-0000-0000-0000F9310000}"/>
    <cellStyle name="40% - Accent6 3 2 12 3" xfId="15367" xr:uid="{00000000-0005-0000-0000-0000FA310000}"/>
    <cellStyle name="40% - Accent6 3 2 12 3 2" xfId="15368" xr:uid="{00000000-0005-0000-0000-0000FB310000}"/>
    <cellStyle name="40% - Accent6 3 2 12 4" xfId="15369" xr:uid="{00000000-0005-0000-0000-0000FC310000}"/>
    <cellStyle name="40% - Accent6 3 2 13" xfId="15370" xr:uid="{00000000-0005-0000-0000-0000FD310000}"/>
    <cellStyle name="40% - Accent6 3 2 13 2" xfId="15371" xr:uid="{00000000-0005-0000-0000-0000FE310000}"/>
    <cellStyle name="40% - Accent6 3 2 14" xfId="15372" xr:uid="{00000000-0005-0000-0000-0000FF310000}"/>
    <cellStyle name="40% - Accent6 3 2 14 2" xfId="15373" xr:uid="{00000000-0005-0000-0000-000000320000}"/>
    <cellStyle name="40% - Accent6 3 2 15" xfId="15374" xr:uid="{00000000-0005-0000-0000-000001320000}"/>
    <cellStyle name="40% - Accent6 3 2 15 2" xfId="15375" xr:uid="{00000000-0005-0000-0000-000002320000}"/>
    <cellStyle name="40% - Accent6 3 2 16" xfId="15376" xr:uid="{00000000-0005-0000-0000-000003320000}"/>
    <cellStyle name="40% - Accent6 3 2 17" xfId="15351" xr:uid="{00000000-0005-0000-0000-000004320000}"/>
    <cellStyle name="40% - Accent6 3 2 2" xfId="1844" xr:uid="{00000000-0005-0000-0000-000005320000}"/>
    <cellStyle name="40% - Accent6 3 2 2 2" xfId="15378" xr:uid="{00000000-0005-0000-0000-000006320000}"/>
    <cellStyle name="40% - Accent6 3 2 2 2 2" xfId="15379" xr:uid="{00000000-0005-0000-0000-000007320000}"/>
    <cellStyle name="40% - Accent6 3 2 2 3" xfId="15380" xr:uid="{00000000-0005-0000-0000-000008320000}"/>
    <cellStyle name="40% - Accent6 3 2 2 3 2" xfId="15381" xr:uid="{00000000-0005-0000-0000-000009320000}"/>
    <cellStyle name="40% - Accent6 3 2 2 4" xfId="15382" xr:uid="{00000000-0005-0000-0000-00000A320000}"/>
    <cellStyle name="40% - Accent6 3 2 2 5" xfId="15377" xr:uid="{00000000-0005-0000-0000-00000B320000}"/>
    <cellStyle name="40% - Accent6 3 2 3" xfId="2219" xr:uid="{00000000-0005-0000-0000-00000C320000}"/>
    <cellStyle name="40% - Accent6 3 2 3 2" xfId="15384" xr:uid="{00000000-0005-0000-0000-00000D320000}"/>
    <cellStyle name="40% - Accent6 3 2 3 2 2" xfId="15385" xr:uid="{00000000-0005-0000-0000-00000E320000}"/>
    <cellStyle name="40% - Accent6 3 2 3 3" xfId="15386" xr:uid="{00000000-0005-0000-0000-00000F320000}"/>
    <cellStyle name="40% - Accent6 3 2 3 3 2" xfId="15387" xr:uid="{00000000-0005-0000-0000-000010320000}"/>
    <cellStyle name="40% - Accent6 3 2 3 4" xfId="15388" xr:uid="{00000000-0005-0000-0000-000011320000}"/>
    <cellStyle name="40% - Accent6 3 2 3 5" xfId="15383" xr:uid="{00000000-0005-0000-0000-000012320000}"/>
    <cellStyle name="40% - Accent6 3 2 4" xfId="2593" xr:uid="{00000000-0005-0000-0000-000013320000}"/>
    <cellStyle name="40% - Accent6 3 2 4 2" xfId="15390" xr:uid="{00000000-0005-0000-0000-000014320000}"/>
    <cellStyle name="40% - Accent6 3 2 4 2 2" xfId="15391" xr:uid="{00000000-0005-0000-0000-000015320000}"/>
    <cellStyle name="40% - Accent6 3 2 4 3" xfId="15392" xr:uid="{00000000-0005-0000-0000-000016320000}"/>
    <cellStyle name="40% - Accent6 3 2 4 3 2" xfId="15393" xr:uid="{00000000-0005-0000-0000-000017320000}"/>
    <cellStyle name="40% - Accent6 3 2 4 4" xfId="15394" xr:uid="{00000000-0005-0000-0000-000018320000}"/>
    <cellStyle name="40% - Accent6 3 2 4 5" xfId="15389" xr:uid="{00000000-0005-0000-0000-000019320000}"/>
    <cellStyle name="40% - Accent6 3 2 5" xfId="2965" xr:uid="{00000000-0005-0000-0000-00001A320000}"/>
    <cellStyle name="40% - Accent6 3 2 5 2" xfId="15396" xr:uid="{00000000-0005-0000-0000-00001B320000}"/>
    <cellStyle name="40% - Accent6 3 2 5 2 2" xfId="15397" xr:uid="{00000000-0005-0000-0000-00001C320000}"/>
    <cellStyle name="40% - Accent6 3 2 5 3" xfId="15398" xr:uid="{00000000-0005-0000-0000-00001D320000}"/>
    <cellStyle name="40% - Accent6 3 2 5 3 2" xfId="15399" xr:uid="{00000000-0005-0000-0000-00001E320000}"/>
    <cellStyle name="40% - Accent6 3 2 5 4" xfId="15400" xr:uid="{00000000-0005-0000-0000-00001F320000}"/>
    <cellStyle name="40% - Accent6 3 2 5 5" xfId="15395" xr:uid="{00000000-0005-0000-0000-000020320000}"/>
    <cellStyle name="40% - Accent6 3 2 6" xfId="3337" xr:uid="{00000000-0005-0000-0000-000021320000}"/>
    <cellStyle name="40% - Accent6 3 2 6 2" xfId="15402" xr:uid="{00000000-0005-0000-0000-000022320000}"/>
    <cellStyle name="40% - Accent6 3 2 6 2 2" xfId="15403" xr:uid="{00000000-0005-0000-0000-000023320000}"/>
    <cellStyle name="40% - Accent6 3 2 6 3" xfId="15404" xr:uid="{00000000-0005-0000-0000-000024320000}"/>
    <cellStyle name="40% - Accent6 3 2 6 3 2" xfId="15405" xr:uid="{00000000-0005-0000-0000-000025320000}"/>
    <cellStyle name="40% - Accent6 3 2 6 4" xfId="15406" xr:uid="{00000000-0005-0000-0000-000026320000}"/>
    <cellStyle name="40% - Accent6 3 2 6 5" xfId="15401" xr:uid="{00000000-0005-0000-0000-000027320000}"/>
    <cellStyle name="40% - Accent6 3 2 7" xfId="4661" xr:uid="{00000000-0005-0000-0000-000028320000}"/>
    <cellStyle name="40% - Accent6 3 2 7 2" xfId="15408" xr:uid="{00000000-0005-0000-0000-000029320000}"/>
    <cellStyle name="40% - Accent6 3 2 7 2 2" xfId="15409" xr:uid="{00000000-0005-0000-0000-00002A320000}"/>
    <cellStyle name="40% - Accent6 3 2 7 3" xfId="15410" xr:uid="{00000000-0005-0000-0000-00002B320000}"/>
    <cellStyle name="40% - Accent6 3 2 7 3 2" xfId="15411" xr:uid="{00000000-0005-0000-0000-00002C320000}"/>
    <cellStyle name="40% - Accent6 3 2 7 4" xfId="15412" xr:uid="{00000000-0005-0000-0000-00002D320000}"/>
    <cellStyle name="40% - Accent6 3 2 7 5" xfId="15407" xr:uid="{00000000-0005-0000-0000-00002E320000}"/>
    <cellStyle name="40% - Accent6 3 2 8" xfId="15413" xr:uid="{00000000-0005-0000-0000-00002F320000}"/>
    <cellStyle name="40% - Accent6 3 2 8 2" xfId="15414" xr:uid="{00000000-0005-0000-0000-000030320000}"/>
    <cellStyle name="40% - Accent6 3 2 8 2 2" xfId="15415" xr:uid="{00000000-0005-0000-0000-000031320000}"/>
    <cellStyle name="40% - Accent6 3 2 8 3" xfId="15416" xr:uid="{00000000-0005-0000-0000-000032320000}"/>
    <cellStyle name="40% - Accent6 3 2 8 3 2" xfId="15417" xr:uid="{00000000-0005-0000-0000-000033320000}"/>
    <cellStyle name="40% - Accent6 3 2 8 4" xfId="15418" xr:uid="{00000000-0005-0000-0000-000034320000}"/>
    <cellStyle name="40% - Accent6 3 2 9" xfId="15419" xr:uid="{00000000-0005-0000-0000-000035320000}"/>
    <cellStyle name="40% - Accent6 3 2 9 2" xfId="15420" xr:uid="{00000000-0005-0000-0000-000036320000}"/>
    <cellStyle name="40% - Accent6 3 2 9 2 2" xfId="15421" xr:uid="{00000000-0005-0000-0000-000037320000}"/>
    <cellStyle name="40% - Accent6 3 2 9 3" xfId="15422" xr:uid="{00000000-0005-0000-0000-000038320000}"/>
    <cellStyle name="40% - Accent6 3 2 9 3 2" xfId="15423" xr:uid="{00000000-0005-0000-0000-000039320000}"/>
    <cellStyle name="40% - Accent6 3 2 9 4" xfId="15424" xr:uid="{00000000-0005-0000-0000-00003A320000}"/>
    <cellStyle name="40% - Accent6 3 3" xfId="1586" xr:uid="{00000000-0005-0000-0000-00003B320000}"/>
    <cellStyle name="40% - Accent6 3 3 2" xfId="1921" xr:uid="{00000000-0005-0000-0000-00003C320000}"/>
    <cellStyle name="40% - Accent6 3 3 2 2" xfId="15427" xr:uid="{00000000-0005-0000-0000-00003D320000}"/>
    <cellStyle name="40% - Accent6 3 3 2 3" xfId="15426" xr:uid="{00000000-0005-0000-0000-00003E320000}"/>
    <cellStyle name="40% - Accent6 3 3 3" xfId="2296" xr:uid="{00000000-0005-0000-0000-00003F320000}"/>
    <cellStyle name="40% - Accent6 3 3 3 2" xfId="15429" xr:uid="{00000000-0005-0000-0000-000040320000}"/>
    <cellStyle name="40% - Accent6 3 3 3 3" xfId="15428" xr:uid="{00000000-0005-0000-0000-000041320000}"/>
    <cellStyle name="40% - Accent6 3 3 4" xfId="2669" xr:uid="{00000000-0005-0000-0000-000042320000}"/>
    <cellStyle name="40% - Accent6 3 3 4 2" xfId="15431" xr:uid="{00000000-0005-0000-0000-000043320000}"/>
    <cellStyle name="40% - Accent6 3 3 4 3" xfId="15430" xr:uid="{00000000-0005-0000-0000-000044320000}"/>
    <cellStyle name="40% - Accent6 3 3 5" xfId="3042" xr:uid="{00000000-0005-0000-0000-000045320000}"/>
    <cellStyle name="40% - Accent6 3 3 5 2" xfId="15433" xr:uid="{00000000-0005-0000-0000-000046320000}"/>
    <cellStyle name="40% - Accent6 3 3 5 3" xfId="15432" xr:uid="{00000000-0005-0000-0000-000047320000}"/>
    <cellStyle name="40% - Accent6 3 3 6" xfId="3413" xr:uid="{00000000-0005-0000-0000-000048320000}"/>
    <cellStyle name="40% - Accent6 3 3 6 2" xfId="15435" xr:uid="{00000000-0005-0000-0000-000049320000}"/>
    <cellStyle name="40% - Accent6 3 3 6 3" xfId="15434" xr:uid="{00000000-0005-0000-0000-00004A320000}"/>
    <cellStyle name="40% - Accent6 3 3 7" xfId="4662" xr:uid="{00000000-0005-0000-0000-00004B320000}"/>
    <cellStyle name="40% - Accent6 3 3 7 2" xfId="15437" xr:uid="{00000000-0005-0000-0000-00004C320000}"/>
    <cellStyle name="40% - Accent6 3 3 7 3" xfId="15436" xr:uid="{00000000-0005-0000-0000-00004D320000}"/>
    <cellStyle name="40% - Accent6 3 3 8" xfId="15438" xr:uid="{00000000-0005-0000-0000-00004E320000}"/>
    <cellStyle name="40% - Accent6 3 3 9" xfId="15425" xr:uid="{00000000-0005-0000-0000-00004F320000}"/>
    <cellStyle name="40% - Accent6 3 4" xfId="1723" xr:uid="{00000000-0005-0000-0000-000050320000}"/>
    <cellStyle name="40% - Accent6 3 4 2" xfId="1965" xr:uid="{00000000-0005-0000-0000-000051320000}"/>
    <cellStyle name="40% - Accent6 3 4 2 2" xfId="15441" xr:uid="{00000000-0005-0000-0000-000052320000}"/>
    <cellStyle name="40% - Accent6 3 4 2 3" xfId="15440" xr:uid="{00000000-0005-0000-0000-000053320000}"/>
    <cellStyle name="40% - Accent6 3 4 3" xfId="2340" xr:uid="{00000000-0005-0000-0000-000054320000}"/>
    <cellStyle name="40% - Accent6 3 4 3 2" xfId="15443" xr:uid="{00000000-0005-0000-0000-000055320000}"/>
    <cellStyle name="40% - Accent6 3 4 3 3" xfId="15442" xr:uid="{00000000-0005-0000-0000-000056320000}"/>
    <cellStyle name="40% - Accent6 3 4 4" xfId="2713" xr:uid="{00000000-0005-0000-0000-000057320000}"/>
    <cellStyle name="40% - Accent6 3 4 4 2" xfId="15445" xr:uid="{00000000-0005-0000-0000-000058320000}"/>
    <cellStyle name="40% - Accent6 3 4 4 3" xfId="15444" xr:uid="{00000000-0005-0000-0000-000059320000}"/>
    <cellStyle name="40% - Accent6 3 4 5" xfId="3086" xr:uid="{00000000-0005-0000-0000-00005A320000}"/>
    <cellStyle name="40% - Accent6 3 4 5 2" xfId="15447" xr:uid="{00000000-0005-0000-0000-00005B320000}"/>
    <cellStyle name="40% - Accent6 3 4 5 3" xfId="15446" xr:uid="{00000000-0005-0000-0000-00005C320000}"/>
    <cellStyle name="40% - Accent6 3 4 6" xfId="3457" xr:uid="{00000000-0005-0000-0000-00005D320000}"/>
    <cellStyle name="40% - Accent6 3 4 6 2" xfId="15449" xr:uid="{00000000-0005-0000-0000-00005E320000}"/>
    <cellStyle name="40% - Accent6 3 4 6 3" xfId="15448" xr:uid="{00000000-0005-0000-0000-00005F320000}"/>
    <cellStyle name="40% - Accent6 3 4 7" xfId="15450" xr:uid="{00000000-0005-0000-0000-000060320000}"/>
    <cellStyle name="40% - Accent6 3 4 8" xfId="15439" xr:uid="{00000000-0005-0000-0000-000061320000}"/>
    <cellStyle name="40% - Accent6 3 5" xfId="2058" xr:uid="{00000000-0005-0000-0000-000062320000}"/>
    <cellStyle name="40% - Accent6 3 5 2" xfId="15452" xr:uid="{00000000-0005-0000-0000-000063320000}"/>
    <cellStyle name="40% - Accent6 3 5 2 2" xfId="15453" xr:uid="{00000000-0005-0000-0000-000064320000}"/>
    <cellStyle name="40% - Accent6 3 5 3" xfId="15454" xr:uid="{00000000-0005-0000-0000-000065320000}"/>
    <cellStyle name="40% - Accent6 3 5 3 2" xfId="15455" xr:uid="{00000000-0005-0000-0000-000066320000}"/>
    <cellStyle name="40% - Accent6 3 5 4" xfId="15456" xr:uid="{00000000-0005-0000-0000-000067320000}"/>
    <cellStyle name="40% - Accent6 3 5 4 2" xfId="15457" xr:uid="{00000000-0005-0000-0000-000068320000}"/>
    <cellStyle name="40% - Accent6 3 5 5" xfId="15458" xr:uid="{00000000-0005-0000-0000-000069320000}"/>
    <cellStyle name="40% - Accent6 3 5 6" xfId="15451" xr:uid="{00000000-0005-0000-0000-00006A320000}"/>
    <cellStyle name="40% - Accent6 3 6" xfId="2432" xr:uid="{00000000-0005-0000-0000-00006B320000}"/>
    <cellStyle name="40% - Accent6 3 6 2" xfId="15460" xr:uid="{00000000-0005-0000-0000-00006C320000}"/>
    <cellStyle name="40% - Accent6 3 6 2 2" xfId="15461" xr:uid="{00000000-0005-0000-0000-00006D320000}"/>
    <cellStyle name="40% - Accent6 3 6 3" xfId="15462" xr:uid="{00000000-0005-0000-0000-00006E320000}"/>
    <cellStyle name="40% - Accent6 3 6 3 2" xfId="15463" xr:uid="{00000000-0005-0000-0000-00006F320000}"/>
    <cellStyle name="40% - Accent6 3 6 4" xfId="15464" xr:uid="{00000000-0005-0000-0000-000070320000}"/>
    <cellStyle name="40% - Accent6 3 6 4 2" xfId="15465" xr:uid="{00000000-0005-0000-0000-000071320000}"/>
    <cellStyle name="40% - Accent6 3 6 5" xfId="15466" xr:uid="{00000000-0005-0000-0000-000072320000}"/>
    <cellStyle name="40% - Accent6 3 6 6" xfId="15459" xr:uid="{00000000-0005-0000-0000-000073320000}"/>
    <cellStyle name="40% - Accent6 3 7" xfId="2804" xr:uid="{00000000-0005-0000-0000-000074320000}"/>
    <cellStyle name="40% - Accent6 3 7 2" xfId="15468" xr:uid="{00000000-0005-0000-0000-000075320000}"/>
    <cellStyle name="40% - Accent6 3 7 2 2" xfId="15469" xr:uid="{00000000-0005-0000-0000-000076320000}"/>
    <cellStyle name="40% - Accent6 3 7 3" xfId="15470" xr:uid="{00000000-0005-0000-0000-000077320000}"/>
    <cellStyle name="40% - Accent6 3 7 3 2" xfId="15471" xr:uid="{00000000-0005-0000-0000-000078320000}"/>
    <cellStyle name="40% - Accent6 3 7 4" xfId="15472" xr:uid="{00000000-0005-0000-0000-000079320000}"/>
    <cellStyle name="40% - Accent6 3 7 4 2" xfId="15473" xr:uid="{00000000-0005-0000-0000-00007A320000}"/>
    <cellStyle name="40% - Accent6 3 7 5" xfId="15474" xr:uid="{00000000-0005-0000-0000-00007B320000}"/>
    <cellStyle name="40% - Accent6 3 7 6" xfId="15467" xr:uid="{00000000-0005-0000-0000-00007C320000}"/>
    <cellStyle name="40% - Accent6 3 8" xfId="3175" xr:uid="{00000000-0005-0000-0000-00007D320000}"/>
    <cellStyle name="40% - Accent6 3 8 2" xfId="15476" xr:uid="{00000000-0005-0000-0000-00007E320000}"/>
    <cellStyle name="40% - Accent6 3 8 2 2" xfId="15477" xr:uid="{00000000-0005-0000-0000-00007F320000}"/>
    <cellStyle name="40% - Accent6 3 8 3" xfId="15478" xr:uid="{00000000-0005-0000-0000-000080320000}"/>
    <cellStyle name="40% - Accent6 3 8 3 2" xfId="15479" xr:uid="{00000000-0005-0000-0000-000081320000}"/>
    <cellStyle name="40% - Accent6 3 8 4" xfId="15480" xr:uid="{00000000-0005-0000-0000-000082320000}"/>
    <cellStyle name="40% - Accent6 3 8 4 2" xfId="15481" xr:uid="{00000000-0005-0000-0000-000083320000}"/>
    <cellStyle name="40% - Accent6 3 8 5" xfId="15482" xr:uid="{00000000-0005-0000-0000-000084320000}"/>
    <cellStyle name="40% - Accent6 3 8 6" xfId="15475" xr:uid="{00000000-0005-0000-0000-000085320000}"/>
    <cellStyle name="40% - Accent6 3 9" xfId="3550" xr:uid="{00000000-0005-0000-0000-000086320000}"/>
    <cellStyle name="40% - Accent6 3 9 2" xfId="4663" xr:uid="{00000000-0005-0000-0000-000087320000}"/>
    <cellStyle name="40% - Accent6 3 9 2 2" xfId="15485" xr:uid="{00000000-0005-0000-0000-000088320000}"/>
    <cellStyle name="40% - Accent6 3 9 2 3" xfId="15484" xr:uid="{00000000-0005-0000-0000-000089320000}"/>
    <cellStyle name="40% - Accent6 3 9 3" xfId="15486" xr:uid="{00000000-0005-0000-0000-00008A320000}"/>
    <cellStyle name="40% - Accent6 3 9 3 2" xfId="15487" xr:uid="{00000000-0005-0000-0000-00008B320000}"/>
    <cellStyle name="40% - Accent6 3 9 4" xfId="15488" xr:uid="{00000000-0005-0000-0000-00008C320000}"/>
    <cellStyle name="40% - Accent6 3 9 4 2" xfId="15489" xr:uid="{00000000-0005-0000-0000-00008D320000}"/>
    <cellStyle name="40% - Accent6 3 9 5" xfId="15490" xr:uid="{00000000-0005-0000-0000-00008E320000}"/>
    <cellStyle name="40% - Accent6 3 9 5 2" xfId="15491" xr:uid="{00000000-0005-0000-0000-00008F320000}"/>
    <cellStyle name="40% - Accent6 3 9 6" xfId="15492" xr:uid="{00000000-0005-0000-0000-000090320000}"/>
    <cellStyle name="40% - Accent6 3 9 7" xfId="15483" xr:uid="{00000000-0005-0000-0000-000091320000}"/>
    <cellStyle name="40% - Accent6 30" xfId="15493" xr:uid="{00000000-0005-0000-0000-000092320000}"/>
    <cellStyle name="40% - Accent6 31" xfId="14976" xr:uid="{00000000-0005-0000-0000-000093320000}"/>
    <cellStyle name="40% - Accent6 4" xfId="246" xr:uid="{00000000-0005-0000-0000-000094320000}"/>
    <cellStyle name="40% - Accent6 4 10" xfId="3730" xr:uid="{00000000-0005-0000-0000-000095320000}"/>
    <cellStyle name="40% - Accent6 4 10 2" xfId="4665" xr:uid="{00000000-0005-0000-0000-000096320000}"/>
    <cellStyle name="40% - Accent6 4 10 2 2" xfId="15497" xr:uid="{00000000-0005-0000-0000-000097320000}"/>
    <cellStyle name="40% - Accent6 4 10 2 3" xfId="15496" xr:uid="{00000000-0005-0000-0000-000098320000}"/>
    <cellStyle name="40% - Accent6 4 10 3" xfId="15498" xr:uid="{00000000-0005-0000-0000-000099320000}"/>
    <cellStyle name="40% - Accent6 4 10 3 2" xfId="15499" xr:uid="{00000000-0005-0000-0000-00009A320000}"/>
    <cellStyle name="40% - Accent6 4 10 4" xfId="15500" xr:uid="{00000000-0005-0000-0000-00009B320000}"/>
    <cellStyle name="40% - Accent6 4 10 4 2" xfId="15501" xr:uid="{00000000-0005-0000-0000-00009C320000}"/>
    <cellStyle name="40% - Accent6 4 10 5" xfId="15502" xr:uid="{00000000-0005-0000-0000-00009D320000}"/>
    <cellStyle name="40% - Accent6 4 10 5 2" xfId="15503" xr:uid="{00000000-0005-0000-0000-00009E320000}"/>
    <cellStyle name="40% - Accent6 4 10 6" xfId="15504" xr:uid="{00000000-0005-0000-0000-00009F320000}"/>
    <cellStyle name="40% - Accent6 4 10 7" xfId="15495" xr:uid="{00000000-0005-0000-0000-0000A0320000}"/>
    <cellStyle name="40% - Accent6 4 11" xfId="1315" xr:uid="{00000000-0005-0000-0000-0000A1320000}"/>
    <cellStyle name="40% - Accent6 4 11 10" xfId="24887" xr:uid="{00000000-0005-0000-0000-0000A2320000}"/>
    <cellStyle name="40% - Accent6 4 11 11" xfId="26665" xr:uid="{00000000-0005-0000-0000-0000A3320000}"/>
    <cellStyle name="40% - Accent6 4 11 2" xfId="4155" xr:uid="{00000000-0005-0000-0000-0000A4320000}"/>
    <cellStyle name="40% - Accent6 4 11 2 2" xfId="5438" xr:uid="{00000000-0005-0000-0000-0000A5320000}"/>
    <cellStyle name="40% - Accent6 4 11 2 2 2" xfId="6456" xr:uid="{00000000-0005-0000-0000-0000A6320000}"/>
    <cellStyle name="40% - Accent6 4 11 2 2 2 2" xfId="15508" xr:uid="{00000000-0005-0000-0000-0000A7320000}"/>
    <cellStyle name="40% - Accent6 4 11 2 2 2 3" xfId="26668" xr:uid="{00000000-0005-0000-0000-0000A8320000}"/>
    <cellStyle name="40% - Accent6 4 11 2 2 3" xfId="15507" xr:uid="{00000000-0005-0000-0000-0000A9320000}"/>
    <cellStyle name="40% - Accent6 4 11 2 2 4" xfId="26667" xr:uid="{00000000-0005-0000-0000-0000AA320000}"/>
    <cellStyle name="40% - Accent6 4 11 2 3" xfId="5748" xr:uid="{00000000-0005-0000-0000-0000AB320000}"/>
    <cellStyle name="40% - Accent6 4 11 2 3 2" xfId="6457" xr:uid="{00000000-0005-0000-0000-0000AC320000}"/>
    <cellStyle name="40% - Accent6 4 11 2 3 2 2" xfId="26670" xr:uid="{00000000-0005-0000-0000-0000AD320000}"/>
    <cellStyle name="40% - Accent6 4 11 2 3 3" xfId="15509" xr:uid="{00000000-0005-0000-0000-0000AE320000}"/>
    <cellStyle name="40% - Accent6 4 11 2 3 4" xfId="26669" xr:uid="{00000000-0005-0000-0000-0000AF320000}"/>
    <cellStyle name="40% - Accent6 4 11 2 4" xfId="4667" xr:uid="{00000000-0005-0000-0000-0000B0320000}"/>
    <cellStyle name="40% - Accent6 4 11 2 4 2" xfId="6458" xr:uid="{00000000-0005-0000-0000-0000B1320000}"/>
    <cellStyle name="40% - Accent6 4 11 2 4 2 2" xfId="26672" xr:uid="{00000000-0005-0000-0000-0000B2320000}"/>
    <cellStyle name="40% - Accent6 4 11 2 4 3" xfId="26671" xr:uid="{00000000-0005-0000-0000-0000B3320000}"/>
    <cellStyle name="40% - Accent6 4 11 2 5" xfId="6455" xr:uid="{00000000-0005-0000-0000-0000B4320000}"/>
    <cellStyle name="40% - Accent6 4 11 2 5 2" xfId="26673" xr:uid="{00000000-0005-0000-0000-0000B5320000}"/>
    <cellStyle name="40% - Accent6 4 11 2 6" xfId="15506" xr:uid="{00000000-0005-0000-0000-0000B6320000}"/>
    <cellStyle name="40% - Accent6 4 11 2 7" xfId="25007" xr:uid="{00000000-0005-0000-0000-0000B7320000}"/>
    <cellStyle name="40% - Accent6 4 11 2 8" xfId="26666" xr:uid="{00000000-0005-0000-0000-0000B8320000}"/>
    <cellStyle name="40% - Accent6 4 11 3" xfId="5437" xr:uid="{00000000-0005-0000-0000-0000B9320000}"/>
    <cellStyle name="40% - Accent6 4 11 3 2" xfId="6459" xr:uid="{00000000-0005-0000-0000-0000BA320000}"/>
    <cellStyle name="40% - Accent6 4 11 3 2 2" xfId="15511" xr:uid="{00000000-0005-0000-0000-0000BB320000}"/>
    <cellStyle name="40% - Accent6 4 11 3 2 3" xfId="26675" xr:uid="{00000000-0005-0000-0000-0000BC320000}"/>
    <cellStyle name="40% - Accent6 4 11 3 3" xfId="15510" xr:uid="{00000000-0005-0000-0000-0000BD320000}"/>
    <cellStyle name="40% - Accent6 4 11 3 4" xfId="26674" xr:uid="{00000000-0005-0000-0000-0000BE320000}"/>
    <cellStyle name="40% - Accent6 4 11 4" xfId="5747" xr:uid="{00000000-0005-0000-0000-0000BF320000}"/>
    <cellStyle name="40% - Accent6 4 11 4 2" xfId="6460" xr:uid="{00000000-0005-0000-0000-0000C0320000}"/>
    <cellStyle name="40% - Accent6 4 11 4 2 2" xfId="15513" xr:uid="{00000000-0005-0000-0000-0000C1320000}"/>
    <cellStyle name="40% - Accent6 4 11 4 2 3" xfId="26677" xr:uid="{00000000-0005-0000-0000-0000C2320000}"/>
    <cellStyle name="40% - Accent6 4 11 4 3" xfId="15512" xr:uid="{00000000-0005-0000-0000-0000C3320000}"/>
    <cellStyle name="40% - Accent6 4 11 4 4" xfId="26676" xr:uid="{00000000-0005-0000-0000-0000C4320000}"/>
    <cellStyle name="40% - Accent6 4 11 5" xfId="4666" xr:uid="{00000000-0005-0000-0000-0000C5320000}"/>
    <cellStyle name="40% - Accent6 4 11 5 2" xfId="6461" xr:uid="{00000000-0005-0000-0000-0000C6320000}"/>
    <cellStyle name="40% - Accent6 4 11 5 2 2" xfId="15516" xr:uid="{00000000-0005-0000-0000-0000C7320000}"/>
    <cellStyle name="40% - Accent6 4 11 5 2 3" xfId="15515" xr:uid="{00000000-0005-0000-0000-0000C8320000}"/>
    <cellStyle name="40% - Accent6 4 11 5 2 4" xfId="26679" xr:uid="{00000000-0005-0000-0000-0000C9320000}"/>
    <cellStyle name="40% - Accent6 4 11 5 3" xfId="15517" xr:uid="{00000000-0005-0000-0000-0000CA320000}"/>
    <cellStyle name="40% - Accent6 4 11 5 3 2" xfId="15518" xr:uid="{00000000-0005-0000-0000-0000CB320000}"/>
    <cellStyle name="40% - Accent6 4 11 5 4" xfId="15519" xr:uid="{00000000-0005-0000-0000-0000CC320000}"/>
    <cellStyle name="40% - Accent6 4 11 5 5" xfId="15514" xr:uid="{00000000-0005-0000-0000-0000CD320000}"/>
    <cellStyle name="40% - Accent6 4 11 5 6" xfId="26678" xr:uid="{00000000-0005-0000-0000-0000CE320000}"/>
    <cellStyle name="40% - Accent6 4 11 6" xfId="6454" xr:uid="{00000000-0005-0000-0000-0000CF320000}"/>
    <cellStyle name="40% - Accent6 4 11 6 2" xfId="15521" xr:uid="{00000000-0005-0000-0000-0000D0320000}"/>
    <cellStyle name="40% - Accent6 4 11 6 3" xfId="15520" xr:uid="{00000000-0005-0000-0000-0000D1320000}"/>
    <cellStyle name="40% - Accent6 4 11 6 4" xfId="26680" xr:uid="{00000000-0005-0000-0000-0000D2320000}"/>
    <cellStyle name="40% - Accent6 4 11 7" xfId="15522" xr:uid="{00000000-0005-0000-0000-0000D3320000}"/>
    <cellStyle name="40% - Accent6 4 11 7 2" xfId="15523" xr:uid="{00000000-0005-0000-0000-0000D4320000}"/>
    <cellStyle name="40% - Accent6 4 11 8" xfId="15524" xr:uid="{00000000-0005-0000-0000-0000D5320000}"/>
    <cellStyle name="40% - Accent6 4 11 9" xfId="15505" xr:uid="{00000000-0005-0000-0000-0000D6320000}"/>
    <cellStyle name="40% - Accent6 4 12" xfId="4668" xr:uid="{00000000-0005-0000-0000-0000D7320000}"/>
    <cellStyle name="40% - Accent6 4 12 2" xfId="5439" xr:uid="{00000000-0005-0000-0000-0000D8320000}"/>
    <cellStyle name="40% - Accent6 4 12 2 2" xfId="6463" xr:uid="{00000000-0005-0000-0000-0000D9320000}"/>
    <cellStyle name="40% - Accent6 4 12 2 2 2" xfId="15527" xr:uid="{00000000-0005-0000-0000-0000DA320000}"/>
    <cellStyle name="40% - Accent6 4 12 2 2 3" xfId="26683" xr:uid="{00000000-0005-0000-0000-0000DB320000}"/>
    <cellStyle name="40% - Accent6 4 12 2 3" xfId="15526" xr:uid="{00000000-0005-0000-0000-0000DC320000}"/>
    <cellStyle name="40% - Accent6 4 12 2 4" xfId="26682" xr:uid="{00000000-0005-0000-0000-0000DD320000}"/>
    <cellStyle name="40% - Accent6 4 12 3" xfId="5749" xr:uid="{00000000-0005-0000-0000-0000DE320000}"/>
    <cellStyle name="40% - Accent6 4 12 3 2" xfId="6464" xr:uid="{00000000-0005-0000-0000-0000DF320000}"/>
    <cellStyle name="40% - Accent6 4 12 3 2 2" xfId="15529" xr:uid="{00000000-0005-0000-0000-0000E0320000}"/>
    <cellStyle name="40% - Accent6 4 12 3 2 3" xfId="26685" xr:uid="{00000000-0005-0000-0000-0000E1320000}"/>
    <cellStyle name="40% - Accent6 4 12 3 3" xfId="15528" xr:uid="{00000000-0005-0000-0000-0000E2320000}"/>
    <cellStyle name="40% - Accent6 4 12 3 4" xfId="26684" xr:uid="{00000000-0005-0000-0000-0000E3320000}"/>
    <cellStyle name="40% - Accent6 4 12 4" xfId="6462" xr:uid="{00000000-0005-0000-0000-0000E4320000}"/>
    <cellStyle name="40% - Accent6 4 12 4 2" xfId="15531" xr:uid="{00000000-0005-0000-0000-0000E5320000}"/>
    <cellStyle name="40% - Accent6 4 12 4 3" xfId="15530" xr:uid="{00000000-0005-0000-0000-0000E6320000}"/>
    <cellStyle name="40% - Accent6 4 12 4 4" xfId="26686" xr:uid="{00000000-0005-0000-0000-0000E7320000}"/>
    <cellStyle name="40% - Accent6 4 12 5" xfId="15532" xr:uid="{00000000-0005-0000-0000-0000E8320000}"/>
    <cellStyle name="40% - Accent6 4 12 6" xfId="15525" xr:uid="{00000000-0005-0000-0000-0000E9320000}"/>
    <cellStyle name="40% - Accent6 4 12 7" xfId="26681" xr:uid="{00000000-0005-0000-0000-0000EA320000}"/>
    <cellStyle name="40% - Accent6 4 13" xfId="5436" xr:uid="{00000000-0005-0000-0000-0000EB320000}"/>
    <cellStyle name="40% - Accent6 4 13 2" xfId="6465" xr:uid="{00000000-0005-0000-0000-0000EC320000}"/>
    <cellStyle name="40% - Accent6 4 13 2 2" xfId="15535" xr:uid="{00000000-0005-0000-0000-0000ED320000}"/>
    <cellStyle name="40% - Accent6 4 13 2 3" xfId="15534" xr:uid="{00000000-0005-0000-0000-0000EE320000}"/>
    <cellStyle name="40% - Accent6 4 13 2 4" xfId="26688" xr:uid="{00000000-0005-0000-0000-0000EF320000}"/>
    <cellStyle name="40% - Accent6 4 13 3" xfId="15536" xr:uid="{00000000-0005-0000-0000-0000F0320000}"/>
    <cellStyle name="40% - Accent6 4 13 3 2" xfId="15537" xr:uid="{00000000-0005-0000-0000-0000F1320000}"/>
    <cellStyle name="40% - Accent6 4 13 4" xfId="15538" xr:uid="{00000000-0005-0000-0000-0000F2320000}"/>
    <cellStyle name="40% - Accent6 4 13 5" xfId="15533" xr:uid="{00000000-0005-0000-0000-0000F3320000}"/>
    <cellStyle name="40% - Accent6 4 13 6" xfId="26687" xr:uid="{00000000-0005-0000-0000-0000F4320000}"/>
    <cellStyle name="40% - Accent6 4 14" xfId="5746" xr:uid="{00000000-0005-0000-0000-0000F5320000}"/>
    <cellStyle name="40% - Accent6 4 14 2" xfId="6466" xr:uid="{00000000-0005-0000-0000-0000F6320000}"/>
    <cellStyle name="40% - Accent6 4 14 2 2" xfId="15540" xr:uid="{00000000-0005-0000-0000-0000F7320000}"/>
    <cellStyle name="40% - Accent6 4 14 2 3" xfId="26690" xr:uid="{00000000-0005-0000-0000-0000F8320000}"/>
    <cellStyle name="40% - Accent6 4 14 3" xfId="15539" xr:uid="{00000000-0005-0000-0000-0000F9320000}"/>
    <cellStyle name="40% - Accent6 4 14 4" xfId="26689" xr:uid="{00000000-0005-0000-0000-0000FA320000}"/>
    <cellStyle name="40% - Accent6 4 15" xfId="4664" xr:uid="{00000000-0005-0000-0000-0000FB320000}"/>
    <cellStyle name="40% - Accent6 4 15 2" xfId="6467" xr:uid="{00000000-0005-0000-0000-0000FC320000}"/>
    <cellStyle name="40% - Accent6 4 15 2 2" xfId="15542" xr:uid="{00000000-0005-0000-0000-0000FD320000}"/>
    <cellStyle name="40% - Accent6 4 15 2 3" xfId="26692" xr:uid="{00000000-0005-0000-0000-0000FE320000}"/>
    <cellStyle name="40% - Accent6 4 15 3" xfId="15541" xr:uid="{00000000-0005-0000-0000-0000FF320000}"/>
    <cellStyle name="40% - Accent6 4 15 4" xfId="26691" xr:uid="{00000000-0005-0000-0000-000000330000}"/>
    <cellStyle name="40% - Accent6 4 16" xfId="15543" xr:uid="{00000000-0005-0000-0000-000001330000}"/>
    <cellStyle name="40% - Accent6 4 16 2" xfId="15544" xr:uid="{00000000-0005-0000-0000-000002330000}"/>
    <cellStyle name="40% - Accent6 4 17" xfId="15545" xr:uid="{00000000-0005-0000-0000-000003330000}"/>
    <cellStyle name="40% - Accent6 4 17 2" xfId="15546" xr:uid="{00000000-0005-0000-0000-000004330000}"/>
    <cellStyle name="40% - Accent6 4 17 2 2" xfId="15547" xr:uid="{00000000-0005-0000-0000-000005330000}"/>
    <cellStyle name="40% - Accent6 4 17 3" xfId="15548" xr:uid="{00000000-0005-0000-0000-000006330000}"/>
    <cellStyle name="40% - Accent6 4 17 3 2" xfId="15549" xr:uid="{00000000-0005-0000-0000-000007330000}"/>
    <cellStyle name="40% - Accent6 4 17 4" xfId="15550" xr:uid="{00000000-0005-0000-0000-000008330000}"/>
    <cellStyle name="40% - Accent6 4 18" xfId="15551" xr:uid="{00000000-0005-0000-0000-000009330000}"/>
    <cellStyle name="40% - Accent6 4 18 2" xfId="15552" xr:uid="{00000000-0005-0000-0000-00000A330000}"/>
    <cellStyle name="40% - Accent6 4 19" xfId="15553" xr:uid="{00000000-0005-0000-0000-00000B330000}"/>
    <cellStyle name="40% - Accent6 4 19 2" xfId="15554" xr:uid="{00000000-0005-0000-0000-00000C330000}"/>
    <cellStyle name="40% - Accent6 4 2" xfId="1504" xr:uid="{00000000-0005-0000-0000-00000D330000}"/>
    <cellStyle name="40% - Accent6 4 2 10" xfId="15556" xr:uid="{00000000-0005-0000-0000-00000E330000}"/>
    <cellStyle name="40% - Accent6 4 2 10 2" xfId="15557" xr:uid="{00000000-0005-0000-0000-00000F330000}"/>
    <cellStyle name="40% - Accent6 4 2 10 2 2" xfId="15558" xr:uid="{00000000-0005-0000-0000-000010330000}"/>
    <cellStyle name="40% - Accent6 4 2 10 3" xfId="15559" xr:uid="{00000000-0005-0000-0000-000011330000}"/>
    <cellStyle name="40% - Accent6 4 2 10 3 2" xfId="15560" xr:uid="{00000000-0005-0000-0000-000012330000}"/>
    <cellStyle name="40% - Accent6 4 2 10 4" xfId="15561" xr:uid="{00000000-0005-0000-0000-000013330000}"/>
    <cellStyle name="40% - Accent6 4 2 11" xfId="15562" xr:uid="{00000000-0005-0000-0000-000014330000}"/>
    <cellStyle name="40% - Accent6 4 2 11 2" xfId="15563" xr:uid="{00000000-0005-0000-0000-000015330000}"/>
    <cellStyle name="40% - Accent6 4 2 11 2 2" xfId="15564" xr:uid="{00000000-0005-0000-0000-000016330000}"/>
    <cellStyle name="40% - Accent6 4 2 11 3" xfId="15565" xr:uid="{00000000-0005-0000-0000-000017330000}"/>
    <cellStyle name="40% - Accent6 4 2 11 3 2" xfId="15566" xr:uid="{00000000-0005-0000-0000-000018330000}"/>
    <cellStyle name="40% - Accent6 4 2 11 4" xfId="15567" xr:uid="{00000000-0005-0000-0000-000019330000}"/>
    <cellStyle name="40% - Accent6 4 2 12" xfId="15568" xr:uid="{00000000-0005-0000-0000-00001A330000}"/>
    <cellStyle name="40% - Accent6 4 2 12 2" xfId="15569" xr:uid="{00000000-0005-0000-0000-00001B330000}"/>
    <cellStyle name="40% - Accent6 4 2 12 2 2" xfId="15570" xr:uid="{00000000-0005-0000-0000-00001C330000}"/>
    <cellStyle name="40% - Accent6 4 2 12 3" xfId="15571" xr:uid="{00000000-0005-0000-0000-00001D330000}"/>
    <cellStyle name="40% - Accent6 4 2 12 3 2" xfId="15572" xr:uid="{00000000-0005-0000-0000-00001E330000}"/>
    <cellStyle name="40% - Accent6 4 2 12 4" xfId="15573" xr:uid="{00000000-0005-0000-0000-00001F330000}"/>
    <cellStyle name="40% - Accent6 4 2 13" xfId="15574" xr:uid="{00000000-0005-0000-0000-000020330000}"/>
    <cellStyle name="40% - Accent6 4 2 13 2" xfId="15575" xr:uid="{00000000-0005-0000-0000-000021330000}"/>
    <cellStyle name="40% - Accent6 4 2 14" xfId="15576" xr:uid="{00000000-0005-0000-0000-000022330000}"/>
    <cellStyle name="40% - Accent6 4 2 14 2" xfId="15577" xr:uid="{00000000-0005-0000-0000-000023330000}"/>
    <cellStyle name="40% - Accent6 4 2 15" xfId="15578" xr:uid="{00000000-0005-0000-0000-000024330000}"/>
    <cellStyle name="40% - Accent6 4 2 15 2" xfId="15579" xr:uid="{00000000-0005-0000-0000-000025330000}"/>
    <cellStyle name="40% - Accent6 4 2 16" xfId="15580" xr:uid="{00000000-0005-0000-0000-000026330000}"/>
    <cellStyle name="40% - Accent6 4 2 16 2" xfId="15581" xr:uid="{00000000-0005-0000-0000-000027330000}"/>
    <cellStyle name="40% - Accent6 4 2 17" xfId="15582" xr:uid="{00000000-0005-0000-0000-000028330000}"/>
    <cellStyle name="40% - Accent6 4 2 18" xfId="15555" xr:uid="{00000000-0005-0000-0000-000029330000}"/>
    <cellStyle name="40% - Accent6 4 2 2" xfId="4669" xr:uid="{00000000-0005-0000-0000-00002A330000}"/>
    <cellStyle name="40% - Accent6 4 2 2 2" xfId="15584" xr:uid="{00000000-0005-0000-0000-00002B330000}"/>
    <cellStyle name="40% - Accent6 4 2 2 2 2" xfId="15585" xr:uid="{00000000-0005-0000-0000-00002C330000}"/>
    <cellStyle name="40% - Accent6 4 2 2 3" xfId="15586" xr:uid="{00000000-0005-0000-0000-00002D330000}"/>
    <cellStyle name="40% - Accent6 4 2 2 3 2" xfId="15587" xr:uid="{00000000-0005-0000-0000-00002E330000}"/>
    <cellStyle name="40% - Accent6 4 2 2 4" xfId="15588" xr:uid="{00000000-0005-0000-0000-00002F330000}"/>
    <cellStyle name="40% - Accent6 4 2 2 5" xfId="15583" xr:uid="{00000000-0005-0000-0000-000030330000}"/>
    <cellStyle name="40% - Accent6 4 2 3" xfId="15589" xr:uid="{00000000-0005-0000-0000-000031330000}"/>
    <cellStyle name="40% - Accent6 4 2 3 2" xfId="15590" xr:uid="{00000000-0005-0000-0000-000032330000}"/>
    <cellStyle name="40% - Accent6 4 2 3 2 2" xfId="15591" xr:uid="{00000000-0005-0000-0000-000033330000}"/>
    <cellStyle name="40% - Accent6 4 2 3 3" xfId="15592" xr:uid="{00000000-0005-0000-0000-000034330000}"/>
    <cellStyle name="40% - Accent6 4 2 3 3 2" xfId="15593" xr:uid="{00000000-0005-0000-0000-000035330000}"/>
    <cellStyle name="40% - Accent6 4 2 3 4" xfId="15594" xr:uid="{00000000-0005-0000-0000-000036330000}"/>
    <cellStyle name="40% - Accent6 4 2 4" xfId="15595" xr:uid="{00000000-0005-0000-0000-000037330000}"/>
    <cellStyle name="40% - Accent6 4 2 4 2" xfId="15596" xr:uid="{00000000-0005-0000-0000-000038330000}"/>
    <cellStyle name="40% - Accent6 4 2 4 2 2" xfId="15597" xr:uid="{00000000-0005-0000-0000-000039330000}"/>
    <cellStyle name="40% - Accent6 4 2 4 3" xfId="15598" xr:uid="{00000000-0005-0000-0000-00003A330000}"/>
    <cellStyle name="40% - Accent6 4 2 4 3 2" xfId="15599" xr:uid="{00000000-0005-0000-0000-00003B330000}"/>
    <cellStyle name="40% - Accent6 4 2 4 4" xfId="15600" xr:uid="{00000000-0005-0000-0000-00003C330000}"/>
    <cellStyle name="40% - Accent6 4 2 5" xfId="15601" xr:uid="{00000000-0005-0000-0000-00003D330000}"/>
    <cellStyle name="40% - Accent6 4 2 5 2" xfId="15602" xr:uid="{00000000-0005-0000-0000-00003E330000}"/>
    <cellStyle name="40% - Accent6 4 2 5 2 2" xfId="15603" xr:uid="{00000000-0005-0000-0000-00003F330000}"/>
    <cellStyle name="40% - Accent6 4 2 5 3" xfId="15604" xr:uid="{00000000-0005-0000-0000-000040330000}"/>
    <cellStyle name="40% - Accent6 4 2 5 3 2" xfId="15605" xr:uid="{00000000-0005-0000-0000-000041330000}"/>
    <cellStyle name="40% - Accent6 4 2 5 4" xfId="15606" xr:uid="{00000000-0005-0000-0000-000042330000}"/>
    <cellStyle name="40% - Accent6 4 2 6" xfId="15607" xr:uid="{00000000-0005-0000-0000-000043330000}"/>
    <cellStyle name="40% - Accent6 4 2 6 2" xfId="15608" xr:uid="{00000000-0005-0000-0000-000044330000}"/>
    <cellStyle name="40% - Accent6 4 2 6 2 2" xfId="15609" xr:uid="{00000000-0005-0000-0000-000045330000}"/>
    <cellStyle name="40% - Accent6 4 2 6 3" xfId="15610" xr:uid="{00000000-0005-0000-0000-000046330000}"/>
    <cellStyle name="40% - Accent6 4 2 6 3 2" xfId="15611" xr:uid="{00000000-0005-0000-0000-000047330000}"/>
    <cellStyle name="40% - Accent6 4 2 6 4" xfId="15612" xr:uid="{00000000-0005-0000-0000-000048330000}"/>
    <cellStyle name="40% - Accent6 4 2 7" xfId="15613" xr:uid="{00000000-0005-0000-0000-000049330000}"/>
    <cellStyle name="40% - Accent6 4 2 7 2" xfId="15614" xr:uid="{00000000-0005-0000-0000-00004A330000}"/>
    <cellStyle name="40% - Accent6 4 2 7 2 2" xfId="15615" xr:uid="{00000000-0005-0000-0000-00004B330000}"/>
    <cellStyle name="40% - Accent6 4 2 7 3" xfId="15616" xr:uid="{00000000-0005-0000-0000-00004C330000}"/>
    <cellStyle name="40% - Accent6 4 2 7 3 2" xfId="15617" xr:uid="{00000000-0005-0000-0000-00004D330000}"/>
    <cellStyle name="40% - Accent6 4 2 7 4" xfId="15618" xr:uid="{00000000-0005-0000-0000-00004E330000}"/>
    <cellStyle name="40% - Accent6 4 2 8" xfId="15619" xr:uid="{00000000-0005-0000-0000-00004F330000}"/>
    <cellStyle name="40% - Accent6 4 2 8 2" xfId="15620" xr:uid="{00000000-0005-0000-0000-000050330000}"/>
    <cellStyle name="40% - Accent6 4 2 8 2 2" xfId="15621" xr:uid="{00000000-0005-0000-0000-000051330000}"/>
    <cellStyle name="40% - Accent6 4 2 8 3" xfId="15622" xr:uid="{00000000-0005-0000-0000-000052330000}"/>
    <cellStyle name="40% - Accent6 4 2 8 3 2" xfId="15623" xr:uid="{00000000-0005-0000-0000-000053330000}"/>
    <cellStyle name="40% - Accent6 4 2 8 4" xfId="15624" xr:uid="{00000000-0005-0000-0000-000054330000}"/>
    <cellStyle name="40% - Accent6 4 2 9" xfId="15625" xr:uid="{00000000-0005-0000-0000-000055330000}"/>
    <cellStyle name="40% - Accent6 4 2 9 2" xfId="15626" xr:uid="{00000000-0005-0000-0000-000056330000}"/>
    <cellStyle name="40% - Accent6 4 2 9 2 2" xfId="15627" xr:uid="{00000000-0005-0000-0000-000057330000}"/>
    <cellStyle name="40% - Accent6 4 2 9 3" xfId="15628" xr:uid="{00000000-0005-0000-0000-000058330000}"/>
    <cellStyle name="40% - Accent6 4 2 9 3 2" xfId="15629" xr:uid="{00000000-0005-0000-0000-000059330000}"/>
    <cellStyle name="40% - Accent6 4 2 9 4" xfId="15630" xr:uid="{00000000-0005-0000-0000-00005A330000}"/>
    <cellStyle name="40% - Accent6 4 20" xfId="15631" xr:uid="{00000000-0005-0000-0000-00005B330000}"/>
    <cellStyle name="40% - Accent6 4 21" xfId="15494" xr:uid="{00000000-0005-0000-0000-00005C330000}"/>
    <cellStyle name="40% - Accent6 4 3" xfId="1629" xr:uid="{00000000-0005-0000-0000-00005D330000}"/>
    <cellStyle name="40% - Accent6 4 3 2" xfId="4670" xr:uid="{00000000-0005-0000-0000-00005E330000}"/>
    <cellStyle name="40% - Accent6 4 3 2 2" xfId="15634" xr:uid="{00000000-0005-0000-0000-00005F330000}"/>
    <cellStyle name="40% - Accent6 4 3 2 3" xfId="15633" xr:uid="{00000000-0005-0000-0000-000060330000}"/>
    <cellStyle name="40% - Accent6 4 3 3" xfId="15635" xr:uid="{00000000-0005-0000-0000-000061330000}"/>
    <cellStyle name="40% - Accent6 4 3 3 2" xfId="15636" xr:uid="{00000000-0005-0000-0000-000062330000}"/>
    <cellStyle name="40% - Accent6 4 3 4" xfId="15637" xr:uid="{00000000-0005-0000-0000-000063330000}"/>
    <cellStyle name="40% - Accent6 4 3 4 2" xfId="15638" xr:uid="{00000000-0005-0000-0000-000064330000}"/>
    <cellStyle name="40% - Accent6 4 3 5" xfId="15639" xr:uid="{00000000-0005-0000-0000-000065330000}"/>
    <cellStyle name="40% - Accent6 4 3 5 2" xfId="15640" xr:uid="{00000000-0005-0000-0000-000066330000}"/>
    <cellStyle name="40% - Accent6 4 3 6" xfId="15641" xr:uid="{00000000-0005-0000-0000-000067330000}"/>
    <cellStyle name="40% - Accent6 4 3 7" xfId="15632" xr:uid="{00000000-0005-0000-0000-000068330000}"/>
    <cellStyle name="40% - Accent6 4 4" xfId="1796" xr:uid="{00000000-0005-0000-0000-000069330000}"/>
    <cellStyle name="40% - Accent6 4 4 2" xfId="15643" xr:uid="{00000000-0005-0000-0000-00006A330000}"/>
    <cellStyle name="40% - Accent6 4 4 2 2" xfId="15644" xr:uid="{00000000-0005-0000-0000-00006B330000}"/>
    <cellStyle name="40% - Accent6 4 4 3" xfId="15645" xr:uid="{00000000-0005-0000-0000-00006C330000}"/>
    <cellStyle name="40% - Accent6 4 4 3 2" xfId="15646" xr:uid="{00000000-0005-0000-0000-00006D330000}"/>
    <cellStyle name="40% - Accent6 4 4 4" xfId="15647" xr:uid="{00000000-0005-0000-0000-00006E330000}"/>
    <cellStyle name="40% - Accent6 4 4 4 2" xfId="15648" xr:uid="{00000000-0005-0000-0000-00006F330000}"/>
    <cellStyle name="40% - Accent6 4 4 5" xfId="15649" xr:uid="{00000000-0005-0000-0000-000070330000}"/>
    <cellStyle name="40% - Accent6 4 4 6" xfId="15642" xr:uid="{00000000-0005-0000-0000-000071330000}"/>
    <cellStyle name="40% - Accent6 4 5" xfId="2132" xr:uid="{00000000-0005-0000-0000-000072330000}"/>
    <cellStyle name="40% - Accent6 4 5 2" xfId="15651" xr:uid="{00000000-0005-0000-0000-000073330000}"/>
    <cellStyle name="40% - Accent6 4 5 2 2" xfId="15652" xr:uid="{00000000-0005-0000-0000-000074330000}"/>
    <cellStyle name="40% - Accent6 4 5 3" xfId="15653" xr:uid="{00000000-0005-0000-0000-000075330000}"/>
    <cellStyle name="40% - Accent6 4 5 3 2" xfId="15654" xr:uid="{00000000-0005-0000-0000-000076330000}"/>
    <cellStyle name="40% - Accent6 4 5 4" xfId="15655" xr:uid="{00000000-0005-0000-0000-000077330000}"/>
    <cellStyle name="40% - Accent6 4 5 4 2" xfId="15656" xr:uid="{00000000-0005-0000-0000-000078330000}"/>
    <cellStyle name="40% - Accent6 4 5 5" xfId="15657" xr:uid="{00000000-0005-0000-0000-000079330000}"/>
    <cellStyle name="40% - Accent6 4 5 6" xfId="15650" xr:uid="{00000000-0005-0000-0000-00007A330000}"/>
    <cellStyle name="40% - Accent6 4 6" xfId="2506" xr:uid="{00000000-0005-0000-0000-00007B330000}"/>
    <cellStyle name="40% - Accent6 4 6 2" xfId="15659" xr:uid="{00000000-0005-0000-0000-00007C330000}"/>
    <cellStyle name="40% - Accent6 4 6 2 2" xfId="15660" xr:uid="{00000000-0005-0000-0000-00007D330000}"/>
    <cellStyle name="40% - Accent6 4 6 3" xfId="15661" xr:uid="{00000000-0005-0000-0000-00007E330000}"/>
    <cellStyle name="40% - Accent6 4 6 3 2" xfId="15662" xr:uid="{00000000-0005-0000-0000-00007F330000}"/>
    <cellStyle name="40% - Accent6 4 6 4" xfId="15663" xr:uid="{00000000-0005-0000-0000-000080330000}"/>
    <cellStyle name="40% - Accent6 4 6 4 2" xfId="15664" xr:uid="{00000000-0005-0000-0000-000081330000}"/>
    <cellStyle name="40% - Accent6 4 6 5" xfId="15665" xr:uid="{00000000-0005-0000-0000-000082330000}"/>
    <cellStyle name="40% - Accent6 4 6 6" xfId="15658" xr:uid="{00000000-0005-0000-0000-000083330000}"/>
    <cellStyle name="40% - Accent6 4 7" xfId="2878" xr:uid="{00000000-0005-0000-0000-000084330000}"/>
    <cellStyle name="40% - Accent6 4 7 2" xfId="15667" xr:uid="{00000000-0005-0000-0000-000085330000}"/>
    <cellStyle name="40% - Accent6 4 7 2 2" xfId="15668" xr:uid="{00000000-0005-0000-0000-000086330000}"/>
    <cellStyle name="40% - Accent6 4 7 3" xfId="15669" xr:uid="{00000000-0005-0000-0000-000087330000}"/>
    <cellStyle name="40% - Accent6 4 7 3 2" xfId="15670" xr:uid="{00000000-0005-0000-0000-000088330000}"/>
    <cellStyle name="40% - Accent6 4 7 4" xfId="15671" xr:uid="{00000000-0005-0000-0000-000089330000}"/>
    <cellStyle name="40% - Accent6 4 7 4 2" xfId="15672" xr:uid="{00000000-0005-0000-0000-00008A330000}"/>
    <cellStyle name="40% - Accent6 4 7 5" xfId="15673" xr:uid="{00000000-0005-0000-0000-00008B330000}"/>
    <cellStyle name="40% - Accent6 4 7 6" xfId="15666" xr:uid="{00000000-0005-0000-0000-00008C330000}"/>
    <cellStyle name="40% - Accent6 4 8" xfId="3249" xr:uid="{00000000-0005-0000-0000-00008D330000}"/>
    <cellStyle name="40% - Accent6 4 8 2" xfId="15675" xr:uid="{00000000-0005-0000-0000-00008E330000}"/>
    <cellStyle name="40% - Accent6 4 8 2 2" xfId="15676" xr:uid="{00000000-0005-0000-0000-00008F330000}"/>
    <cellStyle name="40% - Accent6 4 8 3" xfId="15677" xr:uid="{00000000-0005-0000-0000-000090330000}"/>
    <cellStyle name="40% - Accent6 4 8 3 2" xfId="15678" xr:uid="{00000000-0005-0000-0000-000091330000}"/>
    <cellStyle name="40% - Accent6 4 8 4" xfId="15679" xr:uid="{00000000-0005-0000-0000-000092330000}"/>
    <cellStyle name="40% - Accent6 4 8 4 2" xfId="15680" xr:uid="{00000000-0005-0000-0000-000093330000}"/>
    <cellStyle name="40% - Accent6 4 8 5" xfId="15681" xr:uid="{00000000-0005-0000-0000-000094330000}"/>
    <cellStyle name="40% - Accent6 4 8 6" xfId="15674" xr:uid="{00000000-0005-0000-0000-000095330000}"/>
    <cellStyle name="40% - Accent6 4 9" xfId="3593" xr:uid="{00000000-0005-0000-0000-000096330000}"/>
    <cellStyle name="40% - Accent6 4 9 2" xfId="4671" xr:uid="{00000000-0005-0000-0000-000097330000}"/>
    <cellStyle name="40% - Accent6 4 9 2 2" xfId="15684" xr:uid="{00000000-0005-0000-0000-000098330000}"/>
    <cellStyle name="40% - Accent6 4 9 2 3" xfId="15683" xr:uid="{00000000-0005-0000-0000-000099330000}"/>
    <cellStyle name="40% - Accent6 4 9 3" xfId="15685" xr:uid="{00000000-0005-0000-0000-00009A330000}"/>
    <cellStyle name="40% - Accent6 4 9 3 2" xfId="15686" xr:uid="{00000000-0005-0000-0000-00009B330000}"/>
    <cellStyle name="40% - Accent6 4 9 4" xfId="15687" xr:uid="{00000000-0005-0000-0000-00009C330000}"/>
    <cellStyle name="40% - Accent6 4 9 4 2" xfId="15688" xr:uid="{00000000-0005-0000-0000-00009D330000}"/>
    <cellStyle name="40% - Accent6 4 9 5" xfId="15689" xr:uid="{00000000-0005-0000-0000-00009E330000}"/>
    <cellStyle name="40% - Accent6 4 9 5 2" xfId="15690" xr:uid="{00000000-0005-0000-0000-00009F330000}"/>
    <cellStyle name="40% - Accent6 4 9 6" xfId="15691" xr:uid="{00000000-0005-0000-0000-0000A0330000}"/>
    <cellStyle name="40% - Accent6 4 9 7" xfId="15682" xr:uid="{00000000-0005-0000-0000-0000A1330000}"/>
    <cellStyle name="40% - Accent6 5" xfId="403" xr:uid="{00000000-0005-0000-0000-0000A2330000}"/>
    <cellStyle name="40% - Accent6 5 10" xfId="15693" xr:uid="{00000000-0005-0000-0000-0000A3330000}"/>
    <cellStyle name="40% - Accent6 5 10 2" xfId="15694" xr:uid="{00000000-0005-0000-0000-0000A4330000}"/>
    <cellStyle name="40% - Accent6 5 10 2 2" xfId="15695" xr:uid="{00000000-0005-0000-0000-0000A5330000}"/>
    <cellStyle name="40% - Accent6 5 10 3" xfId="15696" xr:uid="{00000000-0005-0000-0000-0000A6330000}"/>
    <cellStyle name="40% - Accent6 5 10 3 2" xfId="15697" xr:uid="{00000000-0005-0000-0000-0000A7330000}"/>
    <cellStyle name="40% - Accent6 5 10 4" xfId="15698" xr:uid="{00000000-0005-0000-0000-0000A8330000}"/>
    <cellStyle name="40% - Accent6 5 11" xfId="15699" xr:uid="{00000000-0005-0000-0000-0000A9330000}"/>
    <cellStyle name="40% - Accent6 5 11 2" xfId="15700" xr:uid="{00000000-0005-0000-0000-0000AA330000}"/>
    <cellStyle name="40% - Accent6 5 11 2 2" xfId="15701" xr:uid="{00000000-0005-0000-0000-0000AB330000}"/>
    <cellStyle name="40% - Accent6 5 11 3" xfId="15702" xr:uid="{00000000-0005-0000-0000-0000AC330000}"/>
    <cellStyle name="40% - Accent6 5 11 3 2" xfId="15703" xr:uid="{00000000-0005-0000-0000-0000AD330000}"/>
    <cellStyle name="40% - Accent6 5 11 4" xfId="15704" xr:uid="{00000000-0005-0000-0000-0000AE330000}"/>
    <cellStyle name="40% - Accent6 5 12" xfId="15705" xr:uid="{00000000-0005-0000-0000-0000AF330000}"/>
    <cellStyle name="40% - Accent6 5 12 2" xfId="15706" xr:uid="{00000000-0005-0000-0000-0000B0330000}"/>
    <cellStyle name="40% - Accent6 5 12 2 2" xfId="15707" xr:uid="{00000000-0005-0000-0000-0000B1330000}"/>
    <cellStyle name="40% - Accent6 5 12 3" xfId="15708" xr:uid="{00000000-0005-0000-0000-0000B2330000}"/>
    <cellStyle name="40% - Accent6 5 12 3 2" xfId="15709" xr:uid="{00000000-0005-0000-0000-0000B3330000}"/>
    <cellStyle name="40% - Accent6 5 12 4" xfId="15710" xr:uid="{00000000-0005-0000-0000-0000B4330000}"/>
    <cellStyle name="40% - Accent6 5 13" xfId="15711" xr:uid="{00000000-0005-0000-0000-0000B5330000}"/>
    <cellStyle name="40% - Accent6 5 13 2" xfId="15712" xr:uid="{00000000-0005-0000-0000-0000B6330000}"/>
    <cellStyle name="40% - Accent6 5 13 2 2" xfId="15713" xr:uid="{00000000-0005-0000-0000-0000B7330000}"/>
    <cellStyle name="40% - Accent6 5 13 3" xfId="15714" xr:uid="{00000000-0005-0000-0000-0000B8330000}"/>
    <cellStyle name="40% - Accent6 5 13 3 2" xfId="15715" xr:uid="{00000000-0005-0000-0000-0000B9330000}"/>
    <cellStyle name="40% - Accent6 5 13 4" xfId="15716" xr:uid="{00000000-0005-0000-0000-0000BA330000}"/>
    <cellStyle name="40% - Accent6 5 14" xfId="15717" xr:uid="{00000000-0005-0000-0000-0000BB330000}"/>
    <cellStyle name="40% - Accent6 5 14 2" xfId="15718" xr:uid="{00000000-0005-0000-0000-0000BC330000}"/>
    <cellStyle name="40% - Accent6 5 15" xfId="15719" xr:uid="{00000000-0005-0000-0000-0000BD330000}"/>
    <cellStyle name="40% - Accent6 5 15 2" xfId="15720" xr:uid="{00000000-0005-0000-0000-0000BE330000}"/>
    <cellStyle name="40% - Accent6 5 16" xfId="15721" xr:uid="{00000000-0005-0000-0000-0000BF330000}"/>
    <cellStyle name="40% - Accent6 5 16 2" xfId="15722" xr:uid="{00000000-0005-0000-0000-0000C0330000}"/>
    <cellStyle name="40% - Accent6 5 17" xfId="15723" xr:uid="{00000000-0005-0000-0000-0000C1330000}"/>
    <cellStyle name="40% - Accent6 5 17 2" xfId="15724" xr:uid="{00000000-0005-0000-0000-0000C2330000}"/>
    <cellStyle name="40% - Accent6 5 18" xfId="15725" xr:uid="{00000000-0005-0000-0000-0000C3330000}"/>
    <cellStyle name="40% - Accent6 5 19" xfId="15692" xr:uid="{00000000-0005-0000-0000-0000C4330000}"/>
    <cellStyle name="40% - Accent6 5 2" xfId="1859" xr:uid="{00000000-0005-0000-0000-0000C5330000}"/>
    <cellStyle name="40% - Accent6 5 2 10" xfId="15727" xr:uid="{00000000-0005-0000-0000-0000C6330000}"/>
    <cellStyle name="40% - Accent6 5 2 10 2" xfId="15728" xr:uid="{00000000-0005-0000-0000-0000C7330000}"/>
    <cellStyle name="40% - Accent6 5 2 10 2 2" xfId="15729" xr:uid="{00000000-0005-0000-0000-0000C8330000}"/>
    <cellStyle name="40% - Accent6 5 2 10 3" xfId="15730" xr:uid="{00000000-0005-0000-0000-0000C9330000}"/>
    <cellStyle name="40% - Accent6 5 2 10 3 2" xfId="15731" xr:uid="{00000000-0005-0000-0000-0000CA330000}"/>
    <cellStyle name="40% - Accent6 5 2 10 4" xfId="15732" xr:uid="{00000000-0005-0000-0000-0000CB330000}"/>
    <cellStyle name="40% - Accent6 5 2 11" xfId="15733" xr:uid="{00000000-0005-0000-0000-0000CC330000}"/>
    <cellStyle name="40% - Accent6 5 2 11 2" xfId="15734" xr:uid="{00000000-0005-0000-0000-0000CD330000}"/>
    <cellStyle name="40% - Accent6 5 2 11 2 2" xfId="15735" xr:uid="{00000000-0005-0000-0000-0000CE330000}"/>
    <cellStyle name="40% - Accent6 5 2 11 3" xfId="15736" xr:uid="{00000000-0005-0000-0000-0000CF330000}"/>
    <cellStyle name="40% - Accent6 5 2 11 3 2" xfId="15737" xr:uid="{00000000-0005-0000-0000-0000D0330000}"/>
    <cellStyle name="40% - Accent6 5 2 11 4" xfId="15738" xr:uid="{00000000-0005-0000-0000-0000D1330000}"/>
    <cellStyle name="40% - Accent6 5 2 12" xfId="15739" xr:uid="{00000000-0005-0000-0000-0000D2330000}"/>
    <cellStyle name="40% - Accent6 5 2 12 2" xfId="15740" xr:uid="{00000000-0005-0000-0000-0000D3330000}"/>
    <cellStyle name="40% - Accent6 5 2 12 2 2" xfId="15741" xr:uid="{00000000-0005-0000-0000-0000D4330000}"/>
    <cellStyle name="40% - Accent6 5 2 12 3" xfId="15742" xr:uid="{00000000-0005-0000-0000-0000D5330000}"/>
    <cellStyle name="40% - Accent6 5 2 12 3 2" xfId="15743" xr:uid="{00000000-0005-0000-0000-0000D6330000}"/>
    <cellStyle name="40% - Accent6 5 2 12 4" xfId="15744" xr:uid="{00000000-0005-0000-0000-0000D7330000}"/>
    <cellStyle name="40% - Accent6 5 2 13" xfId="15745" xr:uid="{00000000-0005-0000-0000-0000D8330000}"/>
    <cellStyle name="40% - Accent6 5 2 13 2" xfId="15746" xr:uid="{00000000-0005-0000-0000-0000D9330000}"/>
    <cellStyle name="40% - Accent6 5 2 14" xfId="15747" xr:uid="{00000000-0005-0000-0000-0000DA330000}"/>
    <cellStyle name="40% - Accent6 5 2 14 2" xfId="15748" xr:uid="{00000000-0005-0000-0000-0000DB330000}"/>
    <cellStyle name="40% - Accent6 5 2 15" xfId="15749" xr:uid="{00000000-0005-0000-0000-0000DC330000}"/>
    <cellStyle name="40% - Accent6 5 2 15 2" xfId="15750" xr:uid="{00000000-0005-0000-0000-0000DD330000}"/>
    <cellStyle name="40% - Accent6 5 2 16" xfId="15751" xr:uid="{00000000-0005-0000-0000-0000DE330000}"/>
    <cellStyle name="40% - Accent6 5 2 17" xfId="15726" xr:uid="{00000000-0005-0000-0000-0000DF330000}"/>
    <cellStyle name="40% - Accent6 5 2 2" xfId="15752" xr:uid="{00000000-0005-0000-0000-0000E0330000}"/>
    <cellStyle name="40% - Accent6 5 2 2 2" xfId="15753" xr:uid="{00000000-0005-0000-0000-0000E1330000}"/>
    <cellStyle name="40% - Accent6 5 2 2 2 2" xfId="15754" xr:uid="{00000000-0005-0000-0000-0000E2330000}"/>
    <cellStyle name="40% - Accent6 5 2 2 3" xfId="15755" xr:uid="{00000000-0005-0000-0000-0000E3330000}"/>
    <cellStyle name="40% - Accent6 5 2 2 3 2" xfId="15756" xr:uid="{00000000-0005-0000-0000-0000E4330000}"/>
    <cellStyle name="40% - Accent6 5 2 2 4" xfId="15757" xr:uid="{00000000-0005-0000-0000-0000E5330000}"/>
    <cellStyle name="40% - Accent6 5 2 3" xfId="15758" xr:uid="{00000000-0005-0000-0000-0000E6330000}"/>
    <cellStyle name="40% - Accent6 5 2 3 2" xfId="15759" xr:uid="{00000000-0005-0000-0000-0000E7330000}"/>
    <cellStyle name="40% - Accent6 5 2 3 2 2" xfId="15760" xr:uid="{00000000-0005-0000-0000-0000E8330000}"/>
    <cellStyle name="40% - Accent6 5 2 3 3" xfId="15761" xr:uid="{00000000-0005-0000-0000-0000E9330000}"/>
    <cellStyle name="40% - Accent6 5 2 3 3 2" xfId="15762" xr:uid="{00000000-0005-0000-0000-0000EA330000}"/>
    <cellStyle name="40% - Accent6 5 2 3 4" xfId="15763" xr:uid="{00000000-0005-0000-0000-0000EB330000}"/>
    <cellStyle name="40% - Accent6 5 2 4" xfId="15764" xr:uid="{00000000-0005-0000-0000-0000EC330000}"/>
    <cellStyle name="40% - Accent6 5 2 4 2" xfId="15765" xr:uid="{00000000-0005-0000-0000-0000ED330000}"/>
    <cellStyle name="40% - Accent6 5 2 4 2 2" xfId="15766" xr:uid="{00000000-0005-0000-0000-0000EE330000}"/>
    <cellStyle name="40% - Accent6 5 2 4 3" xfId="15767" xr:uid="{00000000-0005-0000-0000-0000EF330000}"/>
    <cellStyle name="40% - Accent6 5 2 4 3 2" xfId="15768" xr:uid="{00000000-0005-0000-0000-0000F0330000}"/>
    <cellStyle name="40% - Accent6 5 2 4 4" xfId="15769" xr:uid="{00000000-0005-0000-0000-0000F1330000}"/>
    <cellStyle name="40% - Accent6 5 2 5" xfId="15770" xr:uid="{00000000-0005-0000-0000-0000F2330000}"/>
    <cellStyle name="40% - Accent6 5 2 5 2" xfId="15771" xr:uid="{00000000-0005-0000-0000-0000F3330000}"/>
    <cellStyle name="40% - Accent6 5 2 5 2 2" xfId="15772" xr:uid="{00000000-0005-0000-0000-0000F4330000}"/>
    <cellStyle name="40% - Accent6 5 2 5 3" xfId="15773" xr:uid="{00000000-0005-0000-0000-0000F5330000}"/>
    <cellStyle name="40% - Accent6 5 2 5 3 2" xfId="15774" xr:uid="{00000000-0005-0000-0000-0000F6330000}"/>
    <cellStyle name="40% - Accent6 5 2 5 4" xfId="15775" xr:uid="{00000000-0005-0000-0000-0000F7330000}"/>
    <cellStyle name="40% - Accent6 5 2 6" xfId="15776" xr:uid="{00000000-0005-0000-0000-0000F8330000}"/>
    <cellStyle name="40% - Accent6 5 2 6 2" xfId="15777" xr:uid="{00000000-0005-0000-0000-0000F9330000}"/>
    <cellStyle name="40% - Accent6 5 2 6 2 2" xfId="15778" xr:uid="{00000000-0005-0000-0000-0000FA330000}"/>
    <cellStyle name="40% - Accent6 5 2 6 3" xfId="15779" xr:uid="{00000000-0005-0000-0000-0000FB330000}"/>
    <cellStyle name="40% - Accent6 5 2 6 3 2" xfId="15780" xr:uid="{00000000-0005-0000-0000-0000FC330000}"/>
    <cellStyle name="40% - Accent6 5 2 6 4" xfId="15781" xr:uid="{00000000-0005-0000-0000-0000FD330000}"/>
    <cellStyle name="40% - Accent6 5 2 7" xfId="15782" xr:uid="{00000000-0005-0000-0000-0000FE330000}"/>
    <cellStyle name="40% - Accent6 5 2 7 2" xfId="15783" xr:uid="{00000000-0005-0000-0000-0000FF330000}"/>
    <cellStyle name="40% - Accent6 5 2 7 2 2" xfId="15784" xr:uid="{00000000-0005-0000-0000-000000340000}"/>
    <cellStyle name="40% - Accent6 5 2 7 3" xfId="15785" xr:uid="{00000000-0005-0000-0000-000001340000}"/>
    <cellStyle name="40% - Accent6 5 2 7 3 2" xfId="15786" xr:uid="{00000000-0005-0000-0000-000002340000}"/>
    <cellStyle name="40% - Accent6 5 2 7 4" xfId="15787" xr:uid="{00000000-0005-0000-0000-000003340000}"/>
    <cellStyle name="40% - Accent6 5 2 8" xfId="15788" xr:uid="{00000000-0005-0000-0000-000004340000}"/>
    <cellStyle name="40% - Accent6 5 2 8 2" xfId="15789" xr:uid="{00000000-0005-0000-0000-000005340000}"/>
    <cellStyle name="40% - Accent6 5 2 8 2 2" xfId="15790" xr:uid="{00000000-0005-0000-0000-000006340000}"/>
    <cellStyle name="40% - Accent6 5 2 8 3" xfId="15791" xr:uid="{00000000-0005-0000-0000-000007340000}"/>
    <cellStyle name="40% - Accent6 5 2 8 3 2" xfId="15792" xr:uid="{00000000-0005-0000-0000-000008340000}"/>
    <cellStyle name="40% - Accent6 5 2 8 4" xfId="15793" xr:uid="{00000000-0005-0000-0000-000009340000}"/>
    <cellStyle name="40% - Accent6 5 2 9" xfId="15794" xr:uid="{00000000-0005-0000-0000-00000A340000}"/>
    <cellStyle name="40% - Accent6 5 2 9 2" xfId="15795" xr:uid="{00000000-0005-0000-0000-00000B340000}"/>
    <cellStyle name="40% - Accent6 5 2 9 2 2" xfId="15796" xr:uid="{00000000-0005-0000-0000-00000C340000}"/>
    <cellStyle name="40% - Accent6 5 2 9 3" xfId="15797" xr:uid="{00000000-0005-0000-0000-00000D340000}"/>
    <cellStyle name="40% - Accent6 5 2 9 3 2" xfId="15798" xr:uid="{00000000-0005-0000-0000-00000E340000}"/>
    <cellStyle name="40% - Accent6 5 2 9 4" xfId="15799" xr:uid="{00000000-0005-0000-0000-00000F340000}"/>
    <cellStyle name="40% - Accent6 5 3" xfId="2234" xr:uid="{00000000-0005-0000-0000-000010340000}"/>
    <cellStyle name="40% - Accent6 5 3 2" xfId="15801" xr:uid="{00000000-0005-0000-0000-000011340000}"/>
    <cellStyle name="40% - Accent6 5 3 2 2" xfId="15802" xr:uid="{00000000-0005-0000-0000-000012340000}"/>
    <cellStyle name="40% - Accent6 5 3 3" xfId="15803" xr:uid="{00000000-0005-0000-0000-000013340000}"/>
    <cellStyle name="40% - Accent6 5 3 3 2" xfId="15804" xr:uid="{00000000-0005-0000-0000-000014340000}"/>
    <cellStyle name="40% - Accent6 5 3 4" xfId="15805" xr:uid="{00000000-0005-0000-0000-000015340000}"/>
    <cellStyle name="40% - Accent6 5 3 4 2" xfId="15806" xr:uid="{00000000-0005-0000-0000-000016340000}"/>
    <cellStyle name="40% - Accent6 5 3 5" xfId="15807" xr:uid="{00000000-0005-0000-0000-000017340000}"/>
    <cellStyle name="40% - Accent6 5 3 6" xfId="15800" xr:uid="{00000000-0005-0000-0000-000018340000}"/>
    <cellStyle name="40% - Accent6 5 4" xfId="2608" xr:uid="{00000000-0005-0000-0000-000019340000}"/>
    <cellStyle name="40% - Accent6 5 4 2" xfId="15809" xr:uid="{00000000-0005-0000-0000-00001A340000}"/>
    <cellStyle name="40% - Accent6 5 4 2 2" xfId="15810" xr:uid="{00000000-0005-0000-0000-00001B340000}"/>
    <cellStyle name="40% - Accent6 5 4 3" xfId="15811" xr:uid="{00000000-0005-0000-0000-00001C340000}"/>
    <cellStyle name="40% - Accent6 5 4 3 2" xfId="15812" xr:uid="{00000000-0005-0000-0000-00001D340000}"/>
    <cellStyle name="40% - Accent6 5 4 4" xfId="15813" xr:uid="{00000000-0005-0000-0000-00001E340000}"/>
    <cellStyle name="40% - Accent6 5 4 4 2" xfId="15814" xr:uid="{00000000-0005-0000-0000-00001F340000}"/>
    <cellStyle name="40% - Accent6 5 4 5" xfId="15815" xr:uid="{00000000-0005-0000-0000-000020340000}"/>
    <cellStyle name="40% - Accent6 5 4 6" xfId="15808" xr:uid="{00000000-0005-0000-0000-000021340000}"/>
    <cellStyle name="40% - Accent6 5 5" xfId="2980" xr:uid="{00000000-0005-0000-0000-000022340000}"/>
    <cellStyle name="40% - Accent6 5 5 2" xfId="15817" xr:uid="{00000000-0005-0000-0000-000023340000}"/>
    <cellStyle name="40% - Accent6 5 5 2 2" xfId="15818" xr:uid="{00000000-0005-0000-0000-000024340000}"/>
    <cellStyle name="40% - Accent6 5 5 3" xfId="15819" xr:uid="{00000000-0005-0000-0000-000025340000}"/>
    <cellStyle name="40% - Accent6 5 5 3 2" xfId="15820" xr:uid="{00000000-0005-0000-0000-000026340000}"/>
    <cellStyle name="40% - Accent6 5 5 4" xfId="15821" xr:uid="{00000000-0005-0000-0000-000027340000}"/>
    <cellStyle name="40% - Accent6 5 5 4 2" xfId="15822" xr:uid="{00000000-0005-0000-0000-000028340000}"/>
    <cellStyle name="40% - Accent6 5 5 5" xfId="15823" xr:uid="{00000000-0005-0000-0000-000029340000}"/>
    <cellStyle name="40% - Accent6 5 5 6" xfId="15816" xr:uid="{00000000-0005-0000-0000-00002A340000}"/>
    <cellStyle name="40% - Accent6 5 6" xfId="3352" xr:uid="{00000000-0005-0000-0000-00002B340000}"/>
    <cellStyle name="40% - Accent6 5 6 2" xfId="15825" xr:uid="{00000000-0005-0000-0000-00002C340000}"/>
    <cellStyle name="40% - Accent6 5 6 2 2" xfId="15826" xr:uid="{00000000-0005-0000-0000-00002D340000}"/>
    <cellStyle name="40% - Accent6 5 6 3" xfId="15827" xr:uid="{00000000-0005-0000-0000-00002E340000}"/>
    <cellStyle name="40% - Accent6 5 6 3 2" xfId="15828" xr:uid="{00000000-0005-0000-0000-00002F340000}"/>
    <cellStyle name="40% - Accent6 5 6 4" xfId="15829" xr:uid="{00000000-0005-0000-0000-000030340000}"/>
    <cellStyle name="40% - Accent6 5 6 4 2" xfId="15830" xr:uid="{00000000-0005-0000-0000-000031340000}"/>
    <cellStyle name="40% - Accent6 5 6 5" xfId="15831" xr:uid="{00000000-0005-0000-0000-000032340000}"/>
    <cellStyle name="40% - Accent6 5 6 6" xfId="15824" xr:uid="{00000000-0005-0000-0000-000033340000}"/>
    <cellStyle name="40% - Accent6 5 7" xfId="4672" xr:uid="{00000000-0005-0000-0000-000034340000}"/>
    <cellStyle name="40% - Accent6 5 7 2" xfId="15833" xr:uid="{00000000-0005-0000-0000-000035340000}"/>
    <cellStyle name="40% - Accent6 5 7 2 2" xfId="15834" xr:uid="{00000000-0005-0000-0000-000036340000}"/>
    <cellStyle name="40% - Accent6 5 7 3" xfId="15835" xr:uid="{00000000-0005-0000-0000-000037340000}"/>
    <cellStyle name="40% - Accent6 5 7 3 2" xfId="15836" xr:uid="{00000000-0005-0000-0000-000038340000}"/>
    <cellStyle name="40% - Accent6 5 7 4" xfId="15837" xr:uid="{00000000-0005-0000-0000-000039340000}"/>
    <cellStyle name="40% - Accent6 5 7 5" xfId="15832" xr:uid="{00000000-0005-0000-0000-00003A340000}"/>
    <cellStyle name="40% - Accent6 5 8" xfId="15838" xr:uid="{00000000-0005-0000-0000-00003B340000}"/>
    <cellStyle name="40% - Accent6 5 8 2" xfId="15839" xr:uid="{00000000-0005-0000-0000-00003C340000}"/>
    <cellStyle name="40% - Accent6 5 8 2 2" xfId="15840" xr:uid="{00000000-0005-0000-0000-00003D340000}"/>
    <cellStyle name="40% - Accent6 5 8 3" xfId="15841" xr:uid="{00000000-0005-0000-0000-00003E340000}"/>
    <cellStyle name="40% - Accent6 5 8 3 2" xfId="15842" xr:uid="{00000000-0005-0000-0000-00003F340000}"/>
    <cellStyle name="40% - Accent6 5 8 4" xfId="15843" xr:uid="{00000000-0005-0000-0000-000040340000}"/>
    <cellStyle name="40% - Accent6 5 9" xfId="15844" xr:uid="{00000000-0005-0000-0000-000041340000}"/>
    <cellStyle name="40% - Accent6 5 9 2" xfId="15845" xr:uid="{00000000-0005-0000-0000-000042340000}"/>
    <cellStyle name="40% - Accent6 5 9 2 2" xfId="15846" xr:uid="{00000000-0005-0000-0000-000043340000}"/>
    <cellStyle name="40% - Accent6 5 9 3" xfId="15847" xr:uid="{00000000-0005-0000-0000-000044340000}"/>
    <cellStyle name="40% - Accent6 5 9 3 2" xfId="15848" xr:uid="{00000000-0005-0000-0000-000045340000}"/>
    <cellStyle name="40% - Accent6 5 9 4" xfId="15849" xr:uid="{00000000-0005-0000-0000-000046340000}"/>
    <cellStyle name="40% - Accent6 6" xfId="404" xr:uid="{00000000-0005-0000-0000-000047340000}"/>
    <cellStyle name="40% - Accent6 6 10" xfId="5440" xr:uid="{00000000-0005-0000-0000-000048340000}"/>
    <cellStyle name="40% - Accent6 6 10 2" xfId="6469" xr:uid="{00000000-0005-0000-0000-000049340000}"/>
    <cellStyle name="40% - Accent6 6 10 2 2" xfId="15853" xr:uid="{00000000-0005-0000-0000-00004A340000}"/>
    <cellStyle name="40% - Accent6 6 10 2 3" xfId="15852" xr:uid="{00000000-0005-0000-0000-00004B340000}"/>
    <cellStyle name="40% - Accent6 6 10 2 4" xfId="26695" xr:uid="{00000000-0005-0000-0000-00004C340000}"/>
    <cellStyle name="40% - Accent6 6 10 3" xfId="15854" xr:uid="{00000000-0005-0000-0000-00004D340000}"/>
    <cellStyle name="40% - Accent6 6 10 3 2" xfId="15855" xr:uid="{00000000-0005-0000-0000-00004E340000}"/>
    <cellStyle name="40% - Accent6 6 10 4" xfId="15856" xr:uid="{00000000-0005-0000-0000-00004F340000}"/>
    <cellStyle name="40% - Accent6 6 10 5" xfId="15851" xr:uid="{00000000-0005-0000-0000-000050340000}"/>
    <cellStyle name="40% - Accent6 6 10 6" xfId="26694" xr:uid="{00000000-0005-0000-0000-000051340000}"/>
    <cellStyle name="40% - Accent6 6 11" xfId="5750" xr:uid="{00000000-0005-0000-0000-000052340000}"/>
    <cellStyle name="40% - Accent6 6 11 2" xfId="6470" xr:uid="{00000000-0005-0000-0000-000053340000}"/>
    <cellStyle name="40% - Accent6 6 11 2 2" xfId="15859" xr:uid="{00000000-0005-0000-0000-000054340000}"/>
    <cellStyle name="40% - Accent6 6 11 2 3" xfId="15858" xr:uid="{00000000-0005-0000-0000-000055340000}"/>
    <cellStyle name="40% - Accent6 6 11 2 4" xfId="26697" xr:uid="{00000000-0005-0000-0000-000056340000}"/>
    <cellStyle name="40% - Accent6 6 11 3" xfId="15860" xr:uid="{00000000-0005-0000-0000-000057340000}"/>
    <cellStyle name="40% - Accent6 6 11 3 2" xfId="15861" xr:uid="{00000000-0005-0000-0000-000058340000}"/>
    <cellStyle name="40% - Accent6 6 11 4" xfId="15862" xr:uid="{00000000-0005-0000-0000-000059340000}"/>
    <cellStyle name="40% - Accent6 6 11 5" xfId="15857" xr:uid="{00000000-0005-0000-0000-00005A340000}"/>
    <cellStyle name="40% - Accent6 6 11 6" xfId="26696" xr:uid="{00000000-0005-0000-0000-00005B340000}"/>
    <cellStyle name="40% - Accent6 6 12" xfId="4673" xr:uid="{00000000-0005-0000-0000-00005C340000}"/>
    <cellStyle name="40% - Accent6 6 12 2" xfId="6471" xr:uid="{00000000-0005-0000-0000-00005D340000}"/>
    <cellStyle name="40% - Accent6 6 12 2 2" xfId="15865" xr:uid="{00000000-0005-0000-0000-00005E340000}"/>
    <cellStyle name="40% - Accent6 6 12 2 3" xfId="15864" xr:uid="{00000000-0005-0000-0000-00005F340000}"/>
    <cellStyle name="40% - Accent6 6 12 2 4" xfId="26699" xr:uid="{00000000-0005-0000-0000-000060340000}"/>
    <cellStyle name="40% - Accent6 6 12 3" xfId="15866" xr:uid="{00000000-0005-0000-0000-000061340000}"/>
    <cellStyle name="40% - Accent6 6 12 3 2" xfId="15867" xr:uid="{00000000-0005-0000-0000-000062340000}"/>
    <cellStyle name="40% - Accent6 6 12 4" xfId="15868" xr:uid="{00000000-0005-0000-0000-000063340000}"/>
    <cellStyle name="40% - Accent6 6 12 5" xfId="15863" xr:uid="{00000000-0005-0000-0000-000064340000}"/>
    <cellStyle name="40% - Accent6 6 12 6" xfId="26698" xr:uid="{00000000-0005-0000-0000-000065340000}"/>
    <cellStyle name="40% - Accent6 6 13" xfId="6468" xr:uid="{00000000-0005-0000-0000-000066340000}"/>
    <cellStyle name="40% - Accent6 6 13 2" xfId="15870" xr:uid="{00000000-0005-0000-0000-000067340000}"/>
    <cellStyle name="40% - Accent6 6 13 3" xfId="15869" xr:uid="{00000000-0005-0000-0000-000068340000}"/>
    <cellStyle name="40% - Accent6 6 13 4" xfId="26700" xr:uid="{00000000-0005-0000-0000-000069340000}"/>
    <cellStyle name="40% - Accent6 6 14" xfId="15871" xr:uid="{00000000-0005-0000-0000-00006A340000}"/>
    <cellStyle name="40% - Accent6 6 14 2" xfId="15872" xr:uid="{00000000-0005-0000-0000-00006B340000}"/>
    <cellStyle name="40% - Accent6 6 15" xfId="15873" xr:uid="{00000000-0005-0000-0000-00006C340000}"/>
    <cellStyle name="40% - Accent6 6 15 2" xfId="15874" xr:uid="{00000000-0005-0000-0000-00006D340000}"/>
    <cellStyle name="40% - Accent6 6 16" xfId="15875" xr:uid="{00000000-0005-0000-0000-00006E340000}"/>
    <cellStyle name="40% - Accent6 6 16 2" xfId="15876" xr:uid="{00000000-0005-0000-0000-00006F340000}"/>
    <cellStyle name="40% - Accent6 6 16 2 2" xfId="15877" xr:uid="{00000000-0005-0000-0000-000070340000}"/>
    <cellStyle name="40% - Accent6 6 16 3" xfId="15878" xr:uid="{00000000-0005-0000-0000-000071340000}"/>
    <cellStyle name="40% - Accent6 6 16 3 2" xfId="15879" xr:uid="{00000000-0005-0000-0000-000072340000}"/>
    <cellStyle name="40% - Accent6 6 16 4" xfId="15880" xr:uid="{00000000-0005-0000-0000-000073340000}"/>
    <cellStyle name="40% - Accent6 6 17" xfId="15881" xr:uid="{00000000-0005-0000-0000-000074340000}"/>
    <cellStyle name="40% - Accent6 6 17 2" xfId="15882" xr:uid="{00000000-0005-0000-0000-000075340000}"/>
    <cellStyle name="40% - Accent6 6 18" xfId="15883" xr:uid="{00000000-0005-0000-0000-000076340000}"/>
    <cellStyle name="40% - Accent6 6 18 2" xfId="15884" xr:uid="{00000000-0005-0000-0000-000077340000}"/>
    <cellStyle name="40% - Accent6 6 19" xfId="15885" xr:uid="{00000000-0005-0000-0000-000078340000}"/>
    <cellStyle name="40% - Accent6 6 2" xfId="1980" xr:uid="{00000000-0005-0000-0000-000079340000}"/>
    <cellStyle name="40% - Accent6 6 2 2" xfId="4674" xr:uid="{00000000-0005-0000-0000-00007A340000}"/>
    <cellStyle name="40% - Accent6 6 2 2 2" xfId="15888" xr:uid="{00000000-0005-0000-0000-00007B340000}"/>
    <cellStyle name="40% - Accent6 6 2 2 3" xfId="15887" xr:uid="{00000000-0005-0000-0000-00007C340000}"/>
    <cellStyle name="40% - Accent6 6 2 3" xfId="15889" xr:uid="{00000000-0005-0000-0000-00007D340000}"/>
    <cellStyle name="40% - Accent6 6 2 3 2" xfId="15890" xr:uid="{00000000-0005-0000-0000-00007E340000}"/>
    <cellStyle name="40% - Accent6 6 2 4" xfId="15891" xr:uid="{00000000-0005-0000-0000-00007F340000}"/>
    <cellStyle name="40% - Accent6 6 2 4 2" xfId="15892" xr:uid="{00000000-0005-0000-0000-000080340000}"/>
    <cellStyle name="40% - Accent6 6 2 5" xfId="15893" xr:uid="{00000000-0005-0000-0000-000081340000}"/>
    <cellStyle name="40% - Accent6 6 2 5 2" xfId="15894" xr:uid="{00000000-0005-0000-0000-000082340000}"/>
    <cellStyle name="40% - Accent6 6 2 6" xfId="15895" xr:uid="{00000000-0005-0000-0000-000083340000}"/>
    <cellStyle name="40% - Accent6 6 2 7" xfId="15886" xr:uid="{00000000-0005-0000-0000-000084340000}"/>
    <cellStyle name="40% - Accent6 6 20" xfId="15850" xr:uid="{00000000-0005-0000-0000-000085340000}"/>
    <cellStyle name="40% - Accent6 6 21" xfId="24842" xr:uid="{00000000-0005-0000-0000-000086340000}"/>
    <cellStyle name="40% - Accent6 6 22" xfId="26693" xr:uid="{00000000-0005-0000-0000-000087340000}"/>
    <cellStyle name="40% - Accent6 6 3" xfId="2355" xr:uid="{00000000-0005-0000-0000-000088340000}"/>
    <cellStyle name="40% - Accent6 6 3 2" xfId="4675" xr:uid="{00000000-0005-0000-0000-000089340000}"/>
    <cellStyle name="40% - Accent6 6 3 2 2" xfId="15898" xr:uid="{00000000-0005-0000-0000-00008A340000}"/>
    <cellStyle name="40% - Accent6 6 3 2 3" xfId="15897" xr:uid="{00000000-0005-0000-0000-00008B340000}"/>
    <cellStyle name="40% - Accent6 6 3 3" xfId="15899" xr:uid="{00000000-0005-0000-0000-00008C340000}"/>
    <cellStyle name="40% - Accent6 6 3 3 2" xfId="15900" xr:uid="{00000000-0005-0000-0000-00008D340000}"/>
    <cellStyle name="40% - Accent6 6 3 4" xfId="15901" xr:uid="{00000000-0005-0000-0000-00008E340000}"/>
    <cellStyle name="40% - Accent6 6 3 4 2" xfId="15902" xr:uid="{00000000-0005-0000-0000-00008F340000}"/>
    <cellStyle name="40% - Accent6 6 3 5" xfId="15903" xr:uid="{00000000-0005-0000-0000-000090340000}"/>
    <cellStyle name="40% - Accent6 6 3 5 2" xfId="15904" xr:uid="{00000000-0005-0000-0000-000091340000}"/>
    <cellStyle name="40% - Accent6 6 3 6" xfId="15905" xr:uid="{00000000-0005-0000-0000-000092340000}"/>
    <cellStyle name="40% - Accent6 6 3 7" xfId="15896" xr:uid="{00000000-0005-0000-0000-000093340000}"/>
    <cellStyle name="40% - Accent6 6 4" xfId="2728" xr:uid="{00000000-0005-0000-0000-000094340000}"/>
    <cellStyle name="40% - Accent6 6 4 2" xfId="4676" xr:uid="{00000000-0005-0000-0000-000095340000}"/>
    <cellStyle name="40% - Accent6 6 4 2 2" xfId="15908" xr:uid="{00000000-0005-0000-0000-000096340000}"/>
    <cellStyle name="40% - Accent6 6 4 2 3" xfId="15907" xr:uid="{00000000-0005-0000-0000-000097340000}"/>
    <cellStyle name="40% - Accent6 6 4 3" xfId="15909" xr:uid="{00000000-0005-0000-0000-000098340000}"/>
    <cellStyle name="40% - Accent6 6 4 3 2" xfId="15910" xr:uid="{00000000-0005-0000-0000-000099340000}"/>
    <cellStyle name="40% - Accent6 6 4 4" xfId="15911" xr:uid="{00000000-0005-0000-0000-00009A340000}"/>
    <cellStyle name="40% - Accent6 6 4 4 2" xfId="15912" xr:uid="{00000000-0005-0000-0000-00009B340000}"/>
    <cellStyle name="40% - Accent6 6 4 5" xfId="15913" xr:uid="{00000000-0005-0000-0000-00009C340000}"/>
    <cellStyle name="40% - Accent6 6 4 5 2" xfId="15914" xr:uid="{00000000-0005-0000-0000-00009D340000}"/>
    <cellStyle name="40% - Accent6 6 4 6" xfId="15915" xr:uid="{00000000-0005-0000-0000-00009E340000}"/>
    <cellStyle name="40% - Accent6 6 4 7" xfId="15906" xr:uid="{00000000-0005-0000-0000-00009F340000}"/>
    <cellStyle name="40% - Accent6 6 5" xfId="3101" xr:uid="{00000000-0005-0000-0000-0000A0340000}"/>
    <cellStyle name="40% - Accent6 6 5 2" xfId="4677" xr:uid="{00000000-0005-0000-0000-0000A1340000}"/>
    <cellStyle name="40% - Accent6 6 5 2 2" xfId="15918" xr:uid="{00000000-0005-0000-0000-0000A2340000}"/>
    <cellStyle name="40% - Accent6 6 5 2 3" xfId="15917" xr:uid="{00000000-0005-0000-0000-0000A3340000}"/>
    <cellStyle name="40% - Accent6 6 5 3" xfId="15919" xr:uid="{00000000-0005-0000-0000-0000A4340000}"/>
    <cellStyle name="40% - Accent6 6 5 3 2" xfId="15920" xr:uid="{00000000-0005-0000-0000-0000A5340000}"/>
    <cellStyle name="40% - Accent6 6 5 4" xfId="15921" xr:uid="{00000000-0005-0000-0000-0000A6340000}"/>
    <cellStyle name="40% - Accent6 6 5 4 2" xfId="15922" xr:uid="{00000000-0005-0000-0000-0000A7340000}"/>
    <cellStyle name="40% - Accent6 6 5 5" xfId="15923" xr:uid="{00000000-0005-0000-0000-0000A8340000}"/>
    <cellStyle name="40% - Accent6 6 5 5 2" xfId="15924" xr:uid="{00000000-0005-0000-0000-0000A9340000}"/>
    <cellStyle name="40% - Accent6 6 5 6" xfId="15925" xr:uid="{00000000-0005-0000-0000-0000AA340000}"/>
    <cellStyle name="40% - Accent6 6 5 7" xfId="15916" xr:uid="{00000000-0005-0000-0000-0000AB340000}"/>
    <cellStyle name="40% - Accent6 6 6" xfId="3472" xr:uid="{00000000-0005-0000-0000-0000AC340000}"/>
    <cellStyle name="40% - Accent6 6 6 2" xfId="4678" xr:uid="{00000000-0005-0000-0000-0000AD340000}"/>
    <cellStyle name="40% - Accent6 6 6 2 2" xfId="15928" xr:uid="{00000000-0005-0000-0000-0000AE340000}"/>
    <cellStyle name="40% - Accent6 6 6 2 3" xfId="15927" xr:uid="{00000000-0005-0000-0000-0000AF340000}"/>
    <cellStyle name="40% - Accent6 6 6 3" xfId="15929" xr:uid="{00000000-0005-0000-0000-0000B0340000}"/>
    <cellStyle name="40% - Accent6 6 6 3 2" xfId="15930" xr:uid="{00000000-0005-0000-0000-0000B1340000}"/>
    <cellStyle name="40% - Accent6 6 6 4" xfId="15931" xr:uid="{00000000-0005-0000-0000-0000B2340000}"/>
    <cellStyle name="40% - Accent6 6 6 4 2" xfId="15932" xr:uid="{00000000-0005-0000-0000-0000B3340000}"/>
    <cellStyle name="40% - Accent6 6 6 5" xfId="15933" xr:uid="{00000000-0005-0000-0000-0000B4340000}"/>
    <cellStyle name="40% - Accent6 6 6 5 2" xfId="15934" xr:uid="{00000000-0005-0000-0000-0000B5340000}"/>
    <cellStyle name="40% - Accent6 6 6 6" xfId="15935" xr:uid="{00000000-0005-0000-0000-0000B6340000}"/>
    <cellStyle name="40% - Accent6 6 6 7" xfId="15926" xr:uid="{00000000-0005-0000-0000-0000B7340000}"/>
    <cellStyle name="40% - Accent6 6 7" xfId="3778" xr:uid="{00000000-0005-0000-0000-0000B8340000}"/>
    <cellStyle name="40% - Accent6 6 7 2" xfId="4679" xr:uid="{00000000-0005-0000-0000-0000B9340000}"/>
    <cellStyle name="40% - Accent6 6 7 2 2" xfId="15938" xr:uid="{00000000-0005-0000-0000-0000BA340000}"/>
    <cellStyle name="40% - Accent6 6 7 2 3" xfId="15937" xr:uid="{00000000-0005-0000-0000-0000BB340000}"/>
    <cellStyle name="40% - Accent6 6 7 3" xfId="15939" xr:uid="{00000000-0005-0000-0000-0000BC340000}"/>
    <cellStyle name="40% - Accent6 6 7 3 2" xfId="15940" xr:uid="{00000000-0005-0000-0000-0000BD340000}"/>
    <cellStyle name="40% - Accent6 6 7 4" xfId="15941" xr:uid="{00000000-0005-0000-0000-0000BE340000}"/>
    <cellStyle name="40% - Accent6 6 7 4 2" xfId="15942" xr:uid="{00000000-0005-0000-0000-0000BF340000}"/>
    <cellStyle name="40% - Accent6 6 7 5" xfId="15943" xr:uid="{00000000-0005-0000-0000-0000C0340000}"/>
    <cellStyle name="40% - Accent6 6 7 5 2" xfId="15944" xr:uid="{00000000-0005-0000-0000-0000C1340000}"/>
    <cellStyle name="40% - Accent6 6 7 6" xfId="15945" xr:uid="{00000000-0005-0000-0000-0000C2340000}"/>
    <cellStyle name="40% - Accent6 6 7 7" xfId="15936" xr:uid="{00000000-0005-0000-0000-0000C3340000}"/>
    <cellStyle name="40% - Accent6 6 8" xfId="1364" xr:uid="{00000000-0005-0000-0000-0000C4340000}"/>
    <cellStyle name="40% - Accent6 6 8 10" xfId="24896" xr:uid="{00000000-0005-0000-0000-0000C5340000}"/>
    <cellStyle name="40% - Accent6 6 8 11" xfId="26701" xr:uid="{00000000-0005-0000-0000-0000C6340000}"/>
    <cellStyle name="40% - Accent6 6 8 2" xfId="4164" xr:uid="{00000000-0005-0000-0000-0000C7340000}"/>
    <cellStyle name="40% - Accent6 6 8 2 2" xfId="5442" xr:uid="{00000000-0005-0000-0000-0000C8340000}"/>
    <cellStyle name="40% - Accent6 6 8 2 2 2" xfId="6474" xr:uid="{00000000-0005-0000-0000-0000C9340000}"/>
    <cellStyle name="40% - Accent6 6 8 2 2 2 2" xfId="15949" xr:uid="{00000000-0005-0000-0000-0000CA340000}"/>
    <cellStyle name="40% - Accent6 6 8 2 2 2 3" xfId="26704" xr:uid="{00000000-0005-0000-0000-0000CB340000}"/>
    <cellStyle name="40% - Accent6 6 8 2 2 3" xfId="15948" xr:uid="{00000000-0005-0000-0000-0000CC340000}"/>
    <cellStyle name="40% - Accent6 6 8 2 2 4" xfId="26703" xr:uid="{00000000-0005-0000-0000-0000CD340000}"/>
    <cellStyle name="40% - Accent6 6 8 2 3" xfId="5752" xr:uid="{00000000-0005-0000-0000-0000CE340000}"/>
    <cellStyle name="40% - Accent6 6 8 2 3 2" xfId="6475" xr:uid="{00000000-0005-0000-0000-0000CF340000}"/>
    <cellStyle name="40% - Accent6 6 8 2 3 2 2" xfId="26706" xr:uid="{00000000-0005-0000-0000-0000D0340000}"/>
    <cellStyle name="40% - Accent6 6 8 2 3 3" xfId="15950" xr:uid="{00000000-0005-0000-0000-0000D1340000}"/>
    <cellStyle name="40% - Accent6 6 8 2 3 4" xfId="26705" xr:uid="{00000000-0005-0000-0000-0000D2340000}"/>
    <cellStyle name="40% - Accent6 6 8 2 4" xfId="4681" xr:uid="{00000000-0005-0000-0000-0000D3340000}"/>
    <cellStyle name="40% - Accent6 6 8 2 4 2" xfId="6476" xr:uid="{00000000-0005-0000-0000-0000D4340000}"/>
    <cellStyle name="40% - Accent6 6 8 2 4 2 2" xfId="26708" xr:uid="{00000000-0005-0000-0000-0000D5340000}"/>
    <cellStyle name="40% - Accent6 6 8 2 4 3" xfId="26707" xr:uid="{00000000-0005-0000-0000-0000D6340000}"/>
    <cellStyle name="40% - Accent6 6 8 2 5" xfId="6473" xr:uid="{00000000-0005-0000-0000-0000D7340000}"/>
    <cellStyle name="40% - Accent6 6 8 2 5 2" xfId="26709" xr:uid="{00000000-0005-0000-0000-0000D8340000}"/>
    <cellStyle name="40% - Accent6 6 8 2 6" xfId="15947" xr:uid="{00000000-0005-0000-0000-0000D9340000}"/>
    <cellStyle name="40% - Accent6 6 8 2 7" xfId="25016" xr:uid="{00000000-0005-0000-0000-0000DA340000}"/>
    <cellStyle name="40% - Accent6 6 8 2 8" xfId="26702" xr:uid="{00000000-0005-0000-0000-0000DB340000}"/>
    <cellStyle name="40% - Accent6 6 8 3" xfId="5441" xr:uid="{00000000-0005-0000-0000-0000DC340000}"/>
    <cellStyle name="40% - Accent6 6 8 3 2" xfId="6477" xr:uid="{00000000-0005-0000-0000-0000DD340000}"/>
    <cellStyle name="40% - Accent6 6 8 3 2 2" xfId="15952" xr:uid="{00000000-0005-0000-0000-0000DE340000}"/>
    <cellStyle name="40% - Accent6 6 8 3 2 3" xfId="26711" xr:uid="{00000000-0005-0000-0000-0000DF340000}"/>
    <cellStyle name="40% - Accent6 6 8 3 3" xfId="15951" xr:uid="{00000000-0005-0000-0000-0000E0340000}"/>
    <cellStyle name="40% - Accent6 6 8 3 4" xfId="26710" xr:uid="{00000000-0005-0000-0000-0000E1340000}"/>
    <cellStyle name="40% - Accent6 6 8 4" xfId="5751" xr:uid="{00000000-0005-0000-0000-0000E2340000}"/>
    <cellStyle name="40% - Accent6 6 8 4 2" xfId="6478" xr:uid="{00000000-0005-0000-0000-0000E3340000}"/>
    <cellStyle name="40% - Accent6 6 8 4 2 2" xfId="15954" xr:uid="{00000000-0005-0000-0000-0000E4340000}"/>
    <cellStyle name="40% - Accent6 6 8 4 2 3" xfId="26713" xr:uid="{00000000-0005-0000-0000-0000E5340000}"/>
    <cellStyle name="40% - Accent6 6 8 4 3" xfId="15953" xr:uid="{00000000-0005-0000-0000-0000E6340000}"/>
    <cellStyle name="40% - Accent6 6 8 4 4" xfId="26712" xr:uid="{00000000-0005-0000-0000-0000E7340000}"/>
    <cellStyle name="40% - Accent6 6 8 5" xfId="4680" xr:uid="{00000000-0005-0000-0000-0000E8340000}"/>
    <cellStyle name="40% - Accent6 6 8 5 2" xfId="6479" xr:uid="{00000000-0005-0000-0000-0000E9340000}"/>
    <cellStyle name="40% - Accent6 6 8 5 2 2" xfId="15957" xr:uid="{00000000-0005-0000-0000-0000EA340000}"/>
    <cellStyle name="40% - Accent6 6 8 5 2 3" xfId="15956" xr:uid="{00000000-0005-0000-0000-0000EB340000}"/>
    <cellStyle name="40% - Accent6 6 8 5 2 4" xfId="26715" xr:uid="{00000000-0005-0000-0000-0000EC340000}"/>
    <cellStyle name="40% - Accent6 6 8 5 3" xfId="15958" xr:uid="{00000000-0005-0000-0000-0000ED340000}"/>
    <cellStyle name="40% - Accent6 6 8 5 3 2" xfId="15959" xr:uid="{00000000-0005-0000-0000-0000EE340000}"/>
    <cellStyle name="40% - Accent6 6 8 5 4" xfId="15960" xr:uid="{00000000-0005-0000-0000-0000EF340000}"/>
    <cellStyle name="40% - Accent6 6 8 5 5" xfId="15955" xr:uid="{00000000-0005-0000-0000-0000F0340000}"/>
    <cellStyle name="40% - Accent6 6 8 5 6" xfId="26714" xr:uid="{00000000-0005-0000-0000-0000F1340000}"/>
    <cellStyle name="40% - Accent6 6 8 6" xfId="6472" xr:uid="{00000000-0005-0000-0000-0000F2340000}"/>
    <cellStyle name="40% - Accent6 6 8 6 2" xfId="15962" xr:uid="{00000000-0005-0000-0000-0000F3340000}"/>
    <cellStyle name="40% - Accent6 6 8 6 3" xfId="15961" xr:uid="{00000000-0005-0000-0000-0000F4340000}"/>
    <cellStyle name="40% - Accent6 6 8 6 4" xfId="26716" xr:uid="{00000000-0005-0000-0000-0000F5340000}"/>
    <cellStyle name="40% - Accent6 6 8 7" xfId="15963" xr:uid="{00000000-0005-0000-0000-0000F6340000}"/>
    <cellStyle name="40% - Accent6 6 8 7 2" xfId="15964" xr:uid="{00000000-0005-0000-0000-0000F7340000}"/>
    <cellStyle name="40% - Accent6 6 8 8" xfId="15965" xr:uid="{00000000-0005-0000-0000-0000F8340000}"/>
    <cellStyle name="40% - Accent6 6 8 9" xfId="15946" xr:uid="{00000000-0005-0000-0000-0000F9340000}"/>
    <cellStyle name="40% - Accent6 6 9" xfId="3828" xr:uid="{00000000-0005-0000-0000-0000FA340000}"/>
    <cellStyle name="40% - Accent6 6 9 2" xfId="5443" xr:uid="{00000000-0005-0000-0000-0000FB340000}"/>
    <cellStyle name="40% - Accent6 6 9 2 2" xfId="6481" xr:uid="{00000000-0005-0000-0000-0000FC340000}"/>
    <cellStyle name="40% - Accent6 6 9 2 2 2" xfId="15968" xr:uid="{00000000-0005-0000-0000-0000FD340000}"/>
    <cellStyle name="40% - Accent6 6 9 2 2 3" xfId="26719" xr:uid="{00000000-0005-0000-0000-0000FE340000}"/>
    <cellStyle name="40% - Accent6 6 9 2 3" xfId="15967" xr:uid="{00000000-0005-0000-0000-0000FF340000}"/>
    <cellStyle name="40% - Accent6 6 9 2 4" xfId="26718" xr:uid="{00000000-0005-0000-0000-000000350000}"/>
    <cellStyle name="40% - Accent6 6 9 3" xfId="5753" xr:uid="{00000000-0005-0000-0000-000001350000}"/>
    <cellStyle name="40% - Accent6 6 9 3 2" xfId="6482" xr:uid="{00000000-0005-0000-0000-000002350000}"/>
    <cellStyle name="40% - Accent6 6 9 3 2 2" xfId="15970" xr:uid="{00000000-0005-0000-0000-000003350000}"/>
    <cellStyle name="40% - Accent6 6 9 3 2 3" xfId="26721" xr:uid="{00000000-0005-0000-0000-000004350000}"/>
    <cellStyle name="40% - Accent6 6 9 3 3" xfId="15969" xr:uid="{00000000-0005-0000-0000-000005350000}"/>
    <cellStyle name="40% - Accent6 6 9 3 4" xfId="26720" xr:uid="{00000000-0005-0000-0000-000006350000}"/>
    <cellStyle name="40% - Accent6 6 9 4" xfId="4682" xr:uid="{00000000-0005-0000-0000-000007350000}"/>
    <cellStyle name="40% - Accent6 6 9 4 2" xfId="6483" xr:uid="{00000000-0005-0000-0000-000008350000}"/>
    <cellStyle name="40% - Accent6 6 9 4 2 2" xfId="15972" xr:uid="{00000000-0005-0000-0000-000009350000}"/>
    <cellStyle name="40% - Accent6 6 9 4 2 3" xfId="26723" xr:uid="{00000000-0005-0000-0000-00000A350000}"/>
    <cellStyle name="40% - Accent6 6 9 4 3" xfId="15971" xr:uid="{00000000-0005-0000-0000-00000B350000}"/>
    <cellStyle name="40% - Accent6 6 9 4 4" xfId="26722" xr:uid="{00000000-0005-0000-0000-00000C350000}"/>
    <cellStyle name="40% - Accent6 6 9 5" xfId="6480" xr:uid="{00000000-0005-0000-0000-00000D350000}"/>
    <cellStyle name="40% - Accent6 6 9 5 2" xfId="15973" xr:uid="{00000000-0005-0000-0000-00000E350000}"/>
    <cellStyle name="40% - Accent6 6 9 5 3" xfId="26724" xr:uid="{00000000-0005-0000-0000-00000F350000}"/>
    <cellStyle name="40% - Accent6 6 9 6" xfId="15966" xr:uid="{00000000-0005-0000-0000-000010350000}"/>
    <cellStyle name="40% - Accent6 6 9 7" xfId="24964" xr:uid="{00000000-0005-0000-0000-000011350000}"/>
    <cellStyle name="40% - Accent6 6 9 8" xfId="26717" xr:uid="{00000000-0005-0000-0000-000012350000}"/>
    <cellStyle name="40% - Accent6 7" xfId="405" xr:uid="{00000000-0005-0000-0000-000013350000}"/>
    <cellStyle name="40% - Accent6 7 10" xfId="15975" xr:uid="{00000000-0005-0000-0000-000014350000}"/>
    <cellStyle name="40% - Accent6 7 10 2" xfId="15976" xr:uid="{00000000-0005-0000-0000-000015350000}"/>
    <cellStyle name="40% - Accent6 7 10 2 2" xfId="15977" xr:uid="{00000000-0005-0000-0000-000016350000}"/>
    <cellStyle name="40% - Accent6 7 10 3" xfId="15978" xr:uid="{00000000-0005-0000-0000-000017350000}"/>
    <cellStyle name="40% - Accent6 7 10 3 2" xfId="15979" xr:uid="{00000000-0005-0000-0000-000018350000}"/>
    <cellStyle name="40% - Accent6 7 10 4" xfId="15980" xr:uid="{00000000-0005-0000-0000-000019350000}"/>
    <cellStyle name="40% - Accent6 7 11" xfId="15981" xr:uid="{00000000-0005-0000-0000-00001A350000}"/>
    <cellStyle name="40% - Accent6 7 11 2" xfId="15982" xr:uid="{00000000-0005-0000-0000-00001B350000}"/>
    <cellStyle name="40% - Accent6 7 11 2 2" xfId="15983" xr:uid="{00000000-0005-0000-0000-00001C350000}"/>
    <cellStyle name="40% - Accent6 7 11 3" xfId="15984" xr:uid="{00000000-0005-0000-0000-00001D350000}"/>
    <cellStyle name="40% - Accent6 7 11 3 2" xfId="15985" xr:uid="{00000000-0005-0000-0000-00001E350000}"/>
    <cellStyle name="40% - Accent6 7 11 4" xfId="15986" xr:uid="{00000000-0005-0000-0000-00001F350000}"/>
    <cellStyle name="40% - Accent6 7 12" xfId="15987" xr:uid="{00000000-0005-0000-0000-000020350000}"/>
    <cellStyle name="40% - Accent6 7 12 2" xfId="15988" xr:uid="{00000000-0005-0000-0000-000021350000}"/>
    <cellStyle name="40% - Accent6 7 12 2 2" xfId="15989" xr:uid="{00000000-0005-0000-0000-000022350000}"/>
    <cellStyle name="40% - Accent6 7 12 3" xfId="15990" xr:uid="{00000000-0005-0000-0000-000023350000}"/>
    <cellStyle name="40% - Accent6 7 12 3 2" xfId="15991" xr:uid="{00000000-0005-0000-0000-000024350000}"/>
    <cellStyle name="40% - Accent6 7 12 4" xfId="15992" xr:uid="{00000000-0005-0000-0000-000025350000}"/>
    <cellStyle name="40% - Accent6 7 13" xfId="15993" xr:uid="{00000000-0005-0000-0000-000026350000}"/>
    <cellStyle name="40% - Accent6 7 13 2" xfId="15994" xr:uid="{00000000-0005-0000-0000-000027350000}"/>
    <cellStyle name="40% - Accent6 7 14" xfId="15995" xr:uid="{00000000-0005-0000-0000-000028350000}"/>
    <cellStyle name="40% - Accent6 7 14 2" xfId="15996" xr:uid="{00000000-0005-0000-0000-000029350000}"/>
    <cellStyle name="40% - Accent6 7 15" xfId="15997" xr:uid="{00000000-0005-0000-0000-00002A350000}"/>
    <cellStyle name="40% - Accent6 7 15 2" xfId="15998" xr:uid="{00000000-0005-0000-0000-00002B350000}"/>
    <cellStyle name="40% - Accent6 7 16" xfId="15999" xr:uid="{00000000-0005-0000-0000-00002C350000}"/>
    <cellStyle name="40% - Accent6 7 16 2" xfId="16000" xr:uid="{00000000-0005-0000-0000-00002D350000}"/>
    <cellStyle name="40% - Accent6 7 17" xfId="16001" xr:uid="{00000000-0005-0000-0000-00002E350000}"/>
    <cellStyle name="40% - Accent6 7 18" xfId="15974" xr:uid="{00000000-0005-0000-0000-00002F350000}"/>
    <cellStyle name="40% - Accent6 7 2" xfId="4683" xr:uid="{00000000-0005-0000-0000-000030350000}"/>
    <cellStyle name="40% - Accent6 7 2 2" xfId="16003" xr:uid="{00000000-0005-0000-0000-000031350000}"/>
    <cellStyle name="40% - Accent6 7 2 2 2" xfId="16004" xr:uid="{00000000-0005-0000-0000-000032350000}"/>
    <cellStyle name="40% - Accent6 7 2 3" xfId="16005" xr:uid="{00000000-0005-0000-0000-000033350000}"/>
    <cellStyle name="40% - Accent6 7 2 3 2" xfId="16006" xr:uid="{00000000-0005-0000-0000-000034350000}"/>
    <cellStyle name="40% - Accent6 7 2 4" xfId="16007" xr:uid="{00000000-0005-0000-0000-000035350000}"/>
    <cellStyle name="40% - Accent6 7 2 5" xfId="16002" xr:uid="{00000000-0005-0000-0000-000036350000}"/>
    <cellStyle name="40% - Accent6 7 3" xfId="16008" xr:uid="{00000000-0005-0000-0000-000037350000}"/>
    <cellStyle name="40% - Accent6 7 3 2" xfId="16009" xr:uid="{00000000-0005-0000-0000-000038350000}"/>
    <cellStyle name="40% - Accent6 7 3 2 2" xfId="16010" xr:uid="{00000000-0005-0000-0000-000039350000}"/>
    <cellStyle name="40% - Accent6 7 3 3" xfId="16011" xr:uid="{00000000-0005-0000-0000-00003A350000}"/>
    <cellStyle name="40% - Accent6 7 3 3 2" xfId="16012" xr:uid="{00000000-0005-0000-0000-00003B350000}"/>
    <cellStyle name="40% - Accent6 7 3 4" xfId="16013" xr:uid="{00000000-0005-0000-0000-00003C350000}"/>
    <cellStyle name="40% - Accent6 7 4" xfId="16014" xr:uid="{00000000-0005-0000-0000-00003D350000}"/>
    <cellStyle name="40% - Accent6 7 4 2" xfId="16015" xr:uid="{00000000-0005-0000-0000-00003E350000}"/>
    <cellStyle name="40% - Accent6 7 4 2 2" xfId="16016" xr:uid="{00000000-0005-0000-0000-00003F350000}"/>
    <cellStyle name="40% - Accent6 7 4 3" xfId="16017" xr:uid="{00000000-0005-0000-0000-000040350000}"/>
    <cellStyle name="40% - Accent6 7 4 3 2" xfId="16018" xr:uid="{00000000-0005-0000-0000-000041350000}"/>
    <cellStyle name="40% - Accent6 7 4 4" xfId="16019" xr:uid="{00000000-0005-0000-0000-000042350000}"/>
    <cellStyle name="40% - Accent6 7 5" xfId="16020" xr:uid="{00000000-0005-0000-0000-000043350000}"/>
    <cellStyle name="40% - Accent6 7 5 2" xfId="16021" xr:uid="{00000000-0005-0000-0000-000044350000}"/>
    <cellStyle name="40% - Accent6 7 5 2 2" xfId="16022" xr:uid="{00000000-0005-0000-0000-000045350000}"/>
    <cellStyle name="40% - Accent6 7 5 3" xfId="16023" xr:uid="{00000000-0005-0000-0000-000046350000}"/>
    <cellStyle name="40% - Accent6 7 5 3 2" xfId="16024" xr:uid="{00000000-0005-0000-0000-000047350000}"/>
    <cellStyle name="40% - Accent6 7 5 4" xfId="16025" xr:uid="{00000000-0005-0000-0000-000048350000}"/>
    <cellStyle name="40% - Accent6 7 6" xfId="16026" xr:uid="{00000000-0005-0000-0000-000049350000}"/>
    <cellStyle name="40% - Accent6 7 6 2" xfId="16027" xr:uid="{00000000-0005-0000-0000-00004A350000}"/>
    <cellStyle name="40% - Accent6 7 6 2 2" xfId="16028" xr:uid="{00000000-0005-0000-0000-00004B350000}"/>
    <cellStyle name="40% - Accent6 7 6 3" xfId="16029" xr:uid="{00000000-0005-0000-0000-00004C350000}"/>
    <cellStyle name="40% - Accent6 7 6 3 2" xfId="16030" xr:uid="{00000000-0005-0000-0000-00004D350000}"/>
    <cellStyle name="40% - Accent6 7 6 4" xfId="16031" xr:uid="{00000000-0005-0000-0000-00004E350000}"/>
    <cellStyle name="40% - Accent6 7 7" xfId="16032" xr:uid="{00000000-0005-0000-0000-00004F350000}"/>
    <cellStyle name="40% - Accent6 7 7 2" xfId="16033" xr:uid="{00000000-0005-0000-0000-000050350000}"/>
    <cellStyle name="40% - Accent6 7 7 2 2" xfId="16034" xr:uid="{00000000-0005-0000-0000-000051350000}"/>
    <cellStyle name="40% - Accent6 7 7 3" xfId="16035" xr:uid="{00000000-0005-0000-0000-000052350000}"/>
    <cellStyle name="40% - Accent6 7 7 3 2" xfId="16036" xr:uid="{00000000-0005-0000-0000-000053350000}"/>
    <cellStyle name="40% - Accent6 7 7 4" xfId="16037" xr:uid="{00000000-0005-0000-0000-000054350000}"/>
    <cellStyle name="40% - Accent6 7 8" xfId="16038" xr:uid="{00000000-0005-0000-0000-000055350000}"/>
    <cellStyle name="40% - Accent6 7 8 2" xfId="16039" xr:uid="{00000000-0005-0000-0000-000056350000}"/>
    <cellStyle name="40% - Accent6 7 8 2 2" xfId="16040" xr:uid="{00000000-0005-0000-0000-000057350000}"/>
    <cellStyle name="40% - Accent6 7 8 3" xfId="16041" xr:uid="{00000000-0005-0000-0000-000058350000}"/>
    <cellStyle name="40% - Accent6 7 8 3 2" xfId="16042" xr:uid="{00000000-0005-0000-0000-000059350000}"/>
    <cellStyle name="40% - Accent6 7 8 4" xfId="16043" xr:uid="{00000000-0005-0000-0000-00005A350000}"/>
    <cellStyle name="40% - Accent6 7 9" xfId="16044" xr:uid="{00000000-0005-0000-0000-00005B350000}"/>
    <cellStyle name="40% - Accent6 7 9 2" xfId="16045" xr:uid="{00000000-0005-0000-0000-00005C350000}"/>
    <cellStyle name="40% - Accent6 7 9 2 2" xfId="16046" xr:uid="{00000000-0005-0000-0000-00005D350000}"/>
    <cellStyle name="40% - Accent6 7 9 3" xfId="16047" xr:uid="{00000000-0005-0000-0000-00005E350000}"/>
    <cellStyle name="40% - Accent6 7 9 3 2" xfId="16048" xr:uid="{00000000-0005-0000-0000-00005F350000}"/>
    <cellStyle name="40% - Accent6 7 9 4" xfId="16049" xr:uid="{00000000-0005-0000-0000-000060350000}"/>
    <cellStyle name="40% - Accent6 8" xfId="553" xr:uid="{00000000-0005-0000-0000-000061350000}"/>
    <cellStyle name="40% - Accent6 8 10" xfId="16050" xr:uid="{00000000-0005-0000-0000-000062350000}"/>
    <cellStyle name="40% - Accent6 8 11" xfId="24856" xr:uid="{00000000-0005-0000-0000-000063350000}"/>
    <cellStyle name="40% - Accent6 8 12" xfId="26725" xr:uid="{00000000-0005-0000-0000-000064350000}"/>
    <cellStyle name="40% - Accent6 8 2" xfId="1383" xr:uid="{00000000-0005-0000-0000-000065350000}"/>
    <cellStyle name="40% - Accent6 8 2 10" xfId="24915" xr:uid="{00000000-0005-0000-0000-000066350000}"/>
    <cellStyle name="40% - Accent6 8 2 11" xfId="26726" xr:uid="{00000000-0005-0000-0000-000067350000}"/>
    <cellStyle name="40% - Accent6 8 2 2" xfId="4183" xr:uid="{00000000-0005-0000-0000-000068350000}"/>
    <cellStyle name="40% - Accent6 8 2 2 2" xfId="5446" xr:uid="{00000000-0005-0000-0000-000069350000}"/>
    <cellStyle name="40% - Accent6 8 2 2 2 2" xfId="6487" xr:uid="{00000000-0005-0000-0000-00006A350000}"/>
    <cellStyle name="40% - Accent6 8 2 2 2 2 2" xfId="16054" xr:uid="{00000000-0005-0000-0000-00006B350000}"/>
    <cellStyle name="40% - Accent6 8 2 2 2 2 3" xfId="26729" xr:uid="{00000000-0005-0000-0000-00006C350000}"/>
    <cellStyle name="40% - Accent6 8 2 2 2 3" xfId="16053" xr:uid="{00000000-0005-0000-0000-00006D350000}"/>
    <cellStyle name="40% - Accent6 8 2 2 2 4" xfId="26728" xr:uid="{00000000-0005-0000-0000-00006E350000}"/>
    <cellStyle name="40% - Accent6 8 2 2 3" xfId="5756" xr:uid="{00000000-0005-0000-0000-00006F350000}"/>
    <cellStyle name="40% - Accent6 8 2 2 3 2" xfId="6488" xr:uid="{00000000-0005-0000-0000-000070350000}"/>
    <cellStyle name="40% - Accent6 8 2 2 3 2 2" xfId="26731" xr:uid="{00000000-0005-0000-0000-000071350000}"/>
    <cellStyle name="40% - Accent6 8 2 2 3 3" xfId="16055" xr:uid="{00000000-0005-0000-0000-000072350000}"/>
    <cellStyle name="40% - Accent6 8 2 2 3 4" xfId="26730" xr:uid="{00000000-0005-0000-0000-000073350000}"/>
    <cellStyle name="40% - Accent6 8 2 2 4" xfId="4686" xr:uid="{00000000-0005-0000-0000-000074350000}"/>
    <cellStyle name="40% - Accent6 8 2 2 4 2" xfId="6489" xr:uid="{00000000-0005-0000-0000-000075350000}"/>
    <cellStyle name="40% - Accent6 8 2 2 4 2 2" xfId="26733" xr:uid="{00000000-0005-0000-0000-000076350000}"/>
    <cellStyle name="40% - Accent6 8 2 2 4 3" xfId="26732" xr:uid="{00000000-0005-0000-0000-000077350000}"/>
    <cellStyle name="40% - Accent6 8 2 2 5" xfId="6486" xr:uid="{00000000-0005-0000-0000-000078350000}"/>
    <cellStyle name="40% - Accent6 8 2 2 5 2" xfId="26734" xr:uid="{00000000-0005-0000-0000-000079350000}"/>
    <cellStyle name="40% - Accent6 8 2 2 6" xfId="16052" xr:uid="{00000000-0005-0000-0000-00007A350000}"/>
    <cellStyle name="40% - Accent6 8 2 2 7" xfId="25035" xr:uid="{00000000-0005-0000-0000-00007B350000}"/>
    <cellStyle name="40% - Accent6 8 2 2 8" xfId="26727" xr:uid="{00000000-0005-0000-0000-00007C350000}"/>
    <cellStyle name="40% - Accent6 8 2 3" xfId="5445" xr:uid="{00000000-0005-0000-0000-00007D350000}"/>
    <cellStyle name="40% - Accent6 8 2 3 2" xfId="6490" xr:uid="{00000000-0005-0000-0000-00007E350000}"/>
    <cellStyle name="40% - Accent6 8 2 3 2 2" xfId="16057" xr:uid="{00000000-0005-0000-0000-00007F350000}"/>
    <cellStyle name="40% - Accent6 8 2 3 2 3" xfId="26736" xr:uid="{00000000-0005-0000-0000-000080350000}"/>
    <cellStyle name="40% - Accent6 8 2 3 3" xfId="16056" xr:uid="{00000000-0005-0000-0000-000081350000}"/>
    <cellStyle name="40% - Accent6 8 2 3 4" xfId="26735" xr:uid="{00000000-0005-0000-0000-000082350000}"/>
    <cellStyle name="40% - Accent6 8 2 4" xfId="5755" xr:uid="{00000000-0005-0000-0000-000083350000}"/>
    <cellStyle name="40% - Accent6 8 2 4 2" xfId="6491" xr:uid="{00000000-0005-0000-0000-000084350000}"/>
    <cellStyle name="40% - Accent6 8 2 4 2 2" xfId="16059" xr:uid="{00000000-0005-0000-0000-000085350000}"/>
    <cellStyle name="40% - Accent6 8 2 4 2 3" xfId="26738" xr:uid="{00000000-0005-0000-0000-000086350000}"/>
    <cellStyle name="40% - Accent6 8 2 4 3" xfId="16058" xr:uid="{00000000-0005-0000-0000-000087350000}"/>
    <cellStyle name="40% - Accent6 8 2 4 4" xfId="26737" xr:uid="{00000000-0005-0000-0000-000088350000}"/>
    <cellStyle name="40% - Accent6 8 2 5" xfId="4685" xr:uid="{00000000-0005-0000-0000-000089350000}"/>
    <cellStyle name="40% - Accent6 8 2 5 2" xfId="6492" xr:uid="{00000000-0005-0000-0000-00008A350000}"/>
    <cellStyle name="40% - Accent6 8 2 5 2 2" xfId="16062" xr:uid="{00000000-0005-0000-0000-00008B350000}"/>
    <cellStyle name="40% - Accent6 8 2 5 2 3" xfId="16061" xr:uid="{00000000-0005-0000-0000-00008C350000}"/>
    <cellStyle name="40% - Accent6 8 2 5 2 4" xfId="26740" xr:uid="{00000000-0005-0000-0000-00008D350000}"/>
    <cellStyle name="40% - Accent6 8 2 5 3" xfId="16063" xr:uid="{00000000-0005-0000-0000-00008E350000}"/>
    <cellStyle name="40% - Accent6 8 2 5 3 2" xfId="16064" xr:uid="{00000000-0005-0000-0000-00008F350000}"/>
    <cellStyle name="40% - Accent6 8 2 5 4" xfId="16065" xr:uid="{00000000-0005-0000-0000-000090350000}"/>
    <cellStyle name="40% - Accent6 8 2 5 5" xfId="16060" xr:uid="{00000000-0005-0000-0000-000091350000}"/>
    <cellStyle name="40% - Accent6 8 2 5 6" xfId="26739" xr:uid="{00000000-0005-0000-0000-000092350000}"/>
    <cellStyle name="40% - Accent6 8 2 6" xfId="6485" xr:uid="{00000000-0005-0000-0000-000093350000}"/>
    <cellStyle name="40% - Accent6 8 2 6 2" xfId="16067" xr:uid="{00000000-0005-0000-0000-000094350000}"/>
    <cellStyle name="40% - Accent6 8 2 6 3" xfId="16066" xr:uid="{00000000-0005-0000-0000-000095350000}"/>
    <cellStyle name="40% - Accent6 8 2 6 4" xfId="26741" xr:uid="{00000000-0005-0000-0000-000096350000}"/>
    <cellStyle name="40% - Accent6 8 2 7" xfId="16068" xr:uid="{00000000-0005-0000-0000-000097350000}"/>
    <cellStyle name="40% - Accent6 8 2 7 2" xfId="16069" xr:uid="{00000000-0005-0000-0000-000098350000}"/>
    <cellStyle name="40% - Accent6 8 2 8" xfId="16070" xr:uid="{00000000-0005-0000-0000-000099350000}"/>
    <cellStyle name="40% - Accent6 8 2 9" xfId="16051" xr:uid="{00000000-0005-0000-0000-00009A350000}"/>
    <cellStyle name="40% - Accent6 8 3" xfId="3842" xr:uid="{00000000-0005-0000-0000-00009B350000}"/>
    <cellStyle name="40% - Accent6 8 3 2" xfId="5447" xr:uid="{00000000-0005-0000-0000-00009C350000}"/>
    <cellStyle name="40% - Accent6 8 3 2 2" xfId="6494" xr:uid="{00000000-0005-0000-0000-00009D350000}"/>
    <cellStyle name="40% - Accent6 8 3 2 2 2" xfId="16073" xr:uid="{00000000-0005-0000-0000-00009E350000}"/>
    <cellStyle name="40% - Accent6 8 3 2 2 3" xfId="26744" xr:uid="{00000000-0005-0000-0000-00009F350000}"/>
    <cellStyle name="40% - Accent6 8 3 2 3" xfId="16072" xr:uid="{00000000-0005-0000-0000-0000A0350000}"/>
    <cellStyle name="40% - Accent6 8 3 2 4" xfId="26743" xr:uid="{00000000-0005-0000-0000-0000A1350000}"/>
    <cellStyle name="40% - Accent6 8 3 3" xfId="5757" xr:uid="{00000000-0005-0000-0000-0000A2350000}"/>
    <cellStyle name="40% - Accent6 8 3 3 2" xfId="6495" xr:uid="{00000000-0005-0000-0000-0000A3350000}"/>
    <cellStyle name="40% - Accent6 8 3 3 2 2" xfId="26746" xr:uid="{00000000-0005-0000-0000-0000A4350000}"/>
    <cellStyle name="40% - Accent6 8 3 3 3" xfId="16074" xr:uid="{00000000-0005-0000-0000-0000A5350000}"/>
    <cellStyle name="40% - Accent6 8 3 3 4" xfId="26745" xr:uid="{00000000-0005-0000-0000-0000A6350000}"/>
    <cellStyle name="40% - Accent6 8 3 4" xfId="4687" xr:uid="{00000000-0005-0000-0000-0000A7350000}"/>
    <cellStyle name="40% - Accent6 8 3 4 2" xfId="6496" xr:uid="{00000000-0005-0000-0000-0000A8350000}"/>
    <cellStyle name="40% - Accent6 8 3 4 2 2" xfId="26748" xr:uid="{00000000-0005-0000-0000-0000A9350000}"/>
    <cellStyle name="40% - Accent6 8 3 4 3" xfId="26747" xr:uid="{00000000-0005-0000-0000-0000AA350000}"/>
    <cellStyle name="40% - Accent6 8 3 5" xfId="6493" xr:uid="{00000000-0005-0000-0000-0000AB350000}"/>
    <cellStyle name="40% - Accent6 8 3 5 2" xfId="26749" xr:uid="{00000000-0005-0000-0000-0000AC350000}"/>
    <cellStyle name="40% - Accent6 8 3 6" xfId="16071" xr:uid="{00000000-0005-0000-0000-0000AD350000}"/>
    <cellStyle name="40% - Accent6 8 3 7" xfId="24978" xr:uid="{00000000-0005-0000-0000-0000AE350000}"/>
    <cellStyle name="40% - Accent6 8 3 8" xfId="26742" xr:uid="{00000000-0005-0000-0000-0000AF350000}"/>
    <cellStyle name="40% - Accent6 8 4" xfId="5444" xr:uid="{00000000-0005-0000-0000-0000B0350000}"/>
    <cellStyle name="40% - Accent6 8 4 2" xfId="6497" xr:uid="{00000000-0005-0000-0000-0000B1350000}"/>
    <cellStyle name="40% - Accent6 8 4 2 2" xfId="16076" xr:uid="{00000000-0005-0000-0000-0000B2350000}"/>
    <cellStyle name="40% - Accent6 8 4 2 3" xfId="26751" xr:uid="{00000000-0005-0000-0000-0000B3350000}"/>
    <cellStyle name="40% - Accent6 8 4 3" xfId="16075" xr:uid="{00000000-0005-0000-0000-0000B4350000}"/>
    <cellStyle name="40% - Accent6 8 4 4" xfId="26750" xr:uid="{00000000-0005-0000-0000-0000B5350000}"/>
    <cellStyle name="40% - Accent6 8 5" xfId="5754" xr:uid="{00000000-0005-0000-0000-0000B6350000}"/>
    <cellStyle name="40% - Accent6 8 5 2" xfId="6498" xr:uid="{00000000-0005-0000-0000-0000B7350000}"/>
    <cellStyle name="40% - Accent6 8 5 2 2" xfId="16078" xr:uid="{00000000-0005-0000-0000-0000B8350000}"/>
    <cellStyle name="40% - Accent6 8 5 2 3" xfId="26753" xr:uid="{00000000-0005-0000-0000-0000B9350000}"/>
    <cellStyle name="40% - Accent6 8 5 3" xfId="16077" xr:uid="{00000000-0005-0000-0000-0000BA350000}"/>
    <cellStyle name="40% - Accent6 8 5 4" xfId="26752" xr:uid="{00000000-0005-0000-0000-0000BB350000}"/>
    <cellStyle name="40% - Accent6 8 6" xfId="4684" xr:uid="{00000000-0005-0000-0000-0000BC350000}"/>
    <cellStyle name="40% - Accent6 8 6 2" xfId="6499" xr:uid="{00000000-0005-0000-0000-0000BD350000}"/>
    <cellStyle name="40% - Accent6 8 6 2 2" xfId="16081" xr:uid="{00000000-0005-0000-0000-0000BE350000}"/>
    <cellStyle name="40% - Accent6 8 6 2 3" xfId="16080" xr:uid="{00000000-0005-0000-0000-0000BF350000}"/>
    <cellStyle name="40% - Accent6 8 6 2 4" xfId="26755" xr:uid="{00000000-0005-0000-0000-0000C0350000}"/>
    <cellStyle name="40% - Accent6 8 6 3" xfId="16082" xr:uid="{00000000-0005-0000-0000-0000C1350000}"/>
    <cellStyle name="40% - Accent6 8 6 3 2" xfId="16083" xr:uid="{00000000-0005-0000-0000-0000C2350000}"/>
    <cellStyle name="40% - Accent6 8 6 4" xfId="16084" xr:uid="{00000000-0005-0000-0000-0000C3350000}"/>
    <cellStyle name="40% - Accent6 8 6 5" xfId="16079" xr:uid="{00000000-0005-0000-0000-0000C4350000}"/>
    <cellStyle name="40% - Accent6 8 6 6" xfId="26754" xr:uid="{00000000-0005-0000-0000-0000C5350000}"/>
    <cellStyle name="40% - Accent6 8 7" xfId="6484" xr:uid="{00000000-0005-0000-0000-0000C6350000}"/>
    <cellStyle name="40% - Accent6 8 7 2" xfId="16086" xr:uid="{00000000-0005-0000-0000-0000C7350000}"/>
    <cellStyle name="40% - Accent6 8 7 3" xfId="16085" xr:uid="{00000000-0005-0000-0000-0000C8350000}"/>
    <cellStyle name="40% - Accent6 8 7 4" xfId="26756" xr:uid="{00000000-0005-0000-0000-0000C9350000}"/>
    <cellStyle name="40% - Accent6 8 8" xfId="16087" xr:uid="{00000000-0005-0000-0000-0000CA350000}"/>
    <cellStyle name="40% - Accent6 8 8 2" xfId="16088" xr:uid="{00000000-0005-0000-0000-0000CB350000}"/>
    <cellStyle name="40% - Accent6 8 9" xfId="16089" xr:uid="{00000000-0005-0000-0000-0000CC350000}"/>
    <cellStyle name="40% - Accent6 9" xfId="554" xr:uid="{00000000-0005-0000-0000-0000CD350000}"/>
    <cellStyle name="40% - Accent6 9 2" xfId="4688" xr:uid="{00000000-0005-0000-0000-0000CE350000}"/>
    <cellStyle name="40% - Accent6 9 2 2" xfId="16092" xr:uid="{00000000-0005-0000-0000-0000CF350000}"/>
    <cellStyle name="40% - Accent6 9 2 2 2" xfId="16093" xr:uid="{00000000-0005-0000-0000-0000D0350000}"/>
    <cellStyle name="40% - Accent6 9 2 3" xfId="16094" xr:uid="{00000000-0005-0000-0000-0000D1350000}"/>
    <cellStyle name="40% - Accent6 9 2 3 2" xfId="16095" xr:uid="{00000000-0005-0000-0000-0000D2350000}"/>
    <cellStyle name="40% - Accent6 9 2 4" xfId="16096" xr:uid="{00000000-0005-0000-0000-0000D3350000}"/>
    <cellStyle name="40% - Accent6 9 2 5" xfId="16091" xr:uid="{00000000-0005-0000-0000-0000D4350000}"/>
    <cellStyle name="40% - Accent6 9 3" xfId="16097" xr:uid="{00000000-0005-0000-0000-0000D5350000}"/>
    <cellStyle name="40% - Accent6 9 3 2" xfId="16098" xr:uid="{00000000-0005-0000-0000-0000D6350000}"/>
    <cellStyle name="40% - Accent6 9 4" xfId="16099" xr:uid="{00000000-0005-0000-0000-0000D7350000}"/>
    <cellStyle name="40% - Accent6 9 4 2" xfId="16100" xr:uid="{00000000-0005-0000-0000-0000D8350000}"/>
    <cellStyle name="40% - Accent6 9 5" xfId="16101" xr:uid="{00000000-0005-0000-0000-0000D9350000}"/>
    <cellStyle name="40% - Accent6 9 5 2" xfId="16102" xr:uid="{00000000-0005-0000-0000-0000DA350000}"/>
    <cellStyle name="40% - Accent6 9 6" xfId="16103" xr:uid="{00000000-0005-0000-0000-0000DB350000}"/>
    <cellStyle name="40% - Accent6 9 6 2" xfId="16104" xr:uid="{00000000-0005-0000-0000-0000DC350000}"/>
    <cellStyle name="40% - Accent6 9 7" xfId="16105" xr:uid="{00000000-0005-0000-0000-0000DD350000}"/>
    <cellStyle name="40% - Accent6 9 8" xfId="16090" xr:uid="{00000000-0005-0000-0000-0000DE350000}"/>
    <cellStyle name="60% - Accent1 10" xfId="688" xr:uid="{00000000-0005-0000-0000-0000DF350000}"/>
    <cellStyle name="60% - Accent1 10 2" xfId="16108" xr:uid="{00000000-0005-0000-0000-0000E0350000}"/>
    <cellStyle name="60% - Accent1 10 3" xfId="16107" xr:uid="{00000000-0005-0000-0000-0000E1350000}"/>
    <cellStyle name="60% - Accent1 11" xfId="689" xr:uid="{00000000-0005-0000-0000-0000E2350000}"/>
    <cellStyle name="60% - Accent1 11 2" xfId="16110" xr:uid="{00000000-0005-0000-0000-0000E3350000}"/>
    <cellStyle name="60% - Accent1 11 3" xfId="16109" xr:uid="{00000000-0005-0000-0000-0000E4350000}"/>
    <cellStyle name="60% - Accent1 12" xfId="834" xr:uid="{00000000-0005-0000-0000-0000E5350000}"/>
    <cellStyle name="60% - Accent1 12 2" xfId="16111" xr:uid="{00000000-0005-0000-0000-0000E6350000}"/>
    <cellStyle name="60% - Accent1 13" xfId="835" xr:uid="{00000000-0005-0000-0000-0000E7350000}"/>
    <cellStyle name="60% - Accent1 13 2" xfId="16106" xr:uid="{00000000-0005-0000-0000-0000E8350000}"/>
    <cellStyle name="60% - Accent1 14" xfId="945" xr:uid="{00000000-0005-0000-0000-0000E9350000}"/>
    <cellStyle name="60% - Accent1 2" xfId="80" xr:uid="{00000000-0005-0000-0000-0000EA350000}"/>
    <cellStyle name="60% - Accent1 2 10" xfId="1679" xr:uid="{00000000-0005-0000-0000-0000EB350000}"/>
    <cellStyle name="60% - Accent1 2 10 2" xfId="16114" xr:uid="{00000000-0005-0000-0000-0000EC350000}"/>
    <cellStyle name="60% - Accent1 2 10 3" xfId="16113" xr:uid="{00000000-0005-0000-0000-0000ED350000}"/>
    <cellStyle name="60% - Accent1 2 11" xfId="2014" xr:uid="{00000000-0005-0000-0000-0000EE350000}"/>
    <cellStyle name="60% - Accent1 2 11 2" xfId="16116" xr:uid="{00000000-0005-0000-0000-0000EF350000}"/>
    <cellStyle name="60% - Accent1 2 11 3" xfId="16115" xr:uid="{00000000-0005-0000-0000-0000F0350000}"/>
    <cellStyle name="60% - Accent1 2 12" xfId="2388" xr:uid="{00000000-0005-0000-0000-0000F1350000}"/>
    <cellStyle name="60% - Accent1 2 12 2" xfId="16118" xr:uid="{00000000-0005-0000-0000-0000F2350000}"/>
    <cellStyle name="60% - Accent1 2 12 3" xfId="16117" xr:uid="{00000000-0005-0000-0000-0000F3350000}"/>
    <cellStyle name="60% - Accent1 2 13" xfId="2761" xr:uid="{00000000-0005-0000-0000-0000F4350000}"/>
    <cellStyle name="60% - Accent1 2 13 2" xfId="16120" xr:uid="{00000000-0005-0000-0000-0000F5350000}"/>
    <cellStyle name="60% - Accent1 2 13 3" xfId="16119" xr:uid="{00000000-0005-0000-0000-0000F6350000}"/>
    <cellStyle name="60% - Accent1 2 14" xfId="3135" xr:uid="{00000000-0005-0000-0000-0000F7350000}"/>
    <cellStyle name="60% - Accent1 2 14 2" xfId="16122" xr:uid="{00000000-0005-0000-0000-0000F8350000}"/>
    <cellStyle name="60% - Accent1 2 14 3" xfId="16121" xr:uid="{00000000-0005-0000-0000-0000F9350000}"/>
    <cellStyle name="60% - Accent1 2 15" xfId="3506" xr:uid="{00000000-0005-0000-0000-0000FA350000}"/>
    <cellStyle name="60% - Accent1 2 15 2" xfId="16124" xr:uid="{00000000-0005-0000-0000-0000FB350000}"/>
    <cellStyle name="60% - Accent1 2 15 3" xfId="16123" xr:uid="{00000000-0005-0000-0000-0000FC350000}"/>
    <cellStyle name="60% - Accent1 2 16" xfId="3644" xr:uid="{00000000-0005-0000-0000-0000FD350000}"/>
    <cellStyle name="60% - Accent1 2 16 2" xfId="16126" xr:uid="{00000000-0005-0000-0000-0000FE350000}"/>
    <cellStyle name="60% - Accent1 2 16 3" xfId="16125" xr:uid="{00000000-0005-0000-0000-0000FF350000}"/>
    <cellStyle name="60% - Accent1 2 17" xfId="16127" xr:uid="{00000000-0005-0000-0000-000000360000}"/>
    <cellStyle name="60% - Accent1 2 17 2" xfId="16128" xr:uid="{00000000-0005-0000-0000-000001360000}"/>
    <cellStyle name="60% - Accent1 2 18" xfId="16129" xr:uid="{00000000-0005-0000-0000-000002360000}"/>
    <cellStyle name="60% - Accent1 2 19" xfId="16112" xr:uid="{00000000-0005-0000-0000-000003360000}"/>
    <cellStyle name="60% - Accent1 2 2" xfId="124" xr:uid="{00000000-0005-0000-0000-000004360000}"/>
    <cellStyle name="60% - Accent1 2 2 2" xfId="173" xr:uid="{00000000-0005-0000-0000-000005360000}"/>
    <cellStyle name="60% - Accent1 2 2 2 2" xfId="16132" xr:uid="{00000000-0005-0000-0000-000006360000}"/>
    <cellStyle name="60% - Accent1 2 2 2 3" xfId="16131" xr:uid="{00000000-0005-0000-0000-000007360000}"/>
    <cellStyle name="60% - Accent1 2 2 3" xfId="337" xr:uid="{00000000-0005-0000-0000-000008360000}"/>
    <cellStyle name="60% - Accent1 2 2 3 2" xfId="16134" xr:uid="{00000000-0005-0000-0000-000009360000}"/>
    <cellStyle name="60% - Accent1 2 2 3 3" xfId="16133" xr:uid="{00000000-0005-0000-0000-00000A360000}"/>
    <cellStyle name="60% - Accent1 2 2 4" xfId="2159" xr:uid="{00000000-0005-0000-0000-00000B360000}"/>
    <cellStyle name="60% - Accent1 2 2 4 2" xfId="16136" xr:uid="{00000000-0005-0000-0000-00000C360000}"/>
    <cellStyle name="60% - Accent1 2 2 4 3" xfId="16135" xr:uid="{00000000-0005-0000-0000-00000D360000}"/>
    <cellStyle name="60% - Accent1 2 2 5" xfId="2533" xr:uid="{00000000-0005-0000-0000-00000E360000}"/>
    <cellStyle name="60% - Accent1 2 2 5 2" xfId="16138" xr:uid="{00000000-0005-0000-0000-00000F360000}"/>
    <cellStyle name="60% - Accent1 2 2 5 3" xfId="16137" xr:uid="{00000000-0005-0000-0000-000010360000}"/>
    <cellStyle name="60% - Accent1 2 2 6" xfId="2905" xr:uid="{00000000-0005-0000-0000-000011360000}"/>
    <cellStyle name="60% - Accent1 2 2 6 2" xfId="16140" xr:uid="{00000000-0005-0000-0000-000012360000}"/>
    <cellStyle name="60% - Accent1 2 2 6 3" xfId="16139" xr:uid="{00000000-0005-0000-0000-000013360000}"/>
    <cellStyle name="60% - Accent1 2 2 7" xfId="3277" xr:uid="{00000000-0005-0000-0000-000014360000}"/>
    <cellStyle name="60% - Accent1 2 2 7 2" xfId="16142" xr:uid="{00000000-0005-0000-0000-000015360000}"/>
    <cellStyle name="60% - Accent1 2 2 7 3" xfId="16141" xr:uid="{00000000-0005-0000-0000-000016360000}"/>
    <cellStyle name="60% - Accent1 2 2 8" xfId="16143" xr:uid="{00000000-0005-0000-0000-000017360000}"/>
    <cellStyle name="60% - Accent1 2 2 9" xfId="16130" xr:uid="{00000000-0005-0000-0000-000018360000}"/>
    <cellStyle name="60% - Accent1 2 20" xfId="24478" xr:uid="{00000000-0005-0000-0000-000019360000}"/>
    <cellStyle name="60% - Accent1 2 3" xfId="289" xr:uid="{00000000-0005-0000-0000-00001A360000}"/>
    <cellStyle name="60% - Accent1 2 3 2" xfId="1335" xr:uid="{00000000-0005-0000-0000-00001B360000}"/>
    <cellStyle name="60% - Accent1 2 3 2 2" xfId="16145" xr:uid="{00000000-0005-0000-0000-00001C360000}"/>
    <cellStyle name="60% - Accent1 2 3 3" xfId="16144" xr:uid="{00000000-0005-0000-0000-00001D360000}"/>
    <cellStyle name="60% - Accent1 2 4" xfId="406" xr:uid="{00000000-0005-0000-0000-00001E360000}"/>
    <cellStyle name="60% - Accent1 2 4 2" xfId="16147" xr:uid="{00000000-0005-0000-0000-00001F360000}"/>
    <cellStyle name="60% - Accent1 2 4 3" xfId="16146" xr:uid="{00000000-0005-0000-0000-000020360000}"/>
    <cellStyle name="60% - Accent1 2 5" xfId="555" xr:uid="{00000000-0005-0000-0000-000021360000}"/>
    <cellStyle name="60% - Accent1 2 5 2" xfId="16149" xr:uid="{00000000-0005-0000-0000-000022360000}"/>
    <cellStyle name="60% - Accent1 2 5 3" xfId="16148" xr:uid="{00000000-0005-0000-0000-000023360000}"/>
    <cellStyle name="60% - Accent1 2 6" xfId="690" xr:uid="{00000000-0005-0000-0000-000024360000}"/>
    <cellStyle name="60% - Accent1 2 6 2" xfId="16151" xr:uid="{00000000-0005-0000-0000-000025360000}"/>
    <cellStyle name="60% - Accent1 2 6 3" xfId="16150" xr:uid="{00000000-0005-0000-0000-000026360000}"/>
    <cellStyle name="60% - Accent1 2 7" xfId="691" xr:uid="{00000000-0005-0000-0000-000027360000}"/>
    <cellStyle name="60% - Accent1 2 7 2" xfId="16153" xr:uid="{00000000-0005-0000-0000-000028360000}"/>
    <cellStyle name="60% - Accent1 2 7 3" xfId="16152" xr:uid="{00000000-0005-0000-0000-000029360000}"/>
    <cellStyle name="60% - Accent1 2 8" xfId="836" xr:uid="{00000000-0005-0000-0000-00002A360000}"/>
    <cellStyle name="60% - Accent1 2 8 2" xfId="1408" xr:uid="{00000000-0005-0000-0000-00002B360000}"/>
    <cellStyle name="60% - Accent1 2 8 2 2" xfId="16155" xr:uid="{00000000-0005-0000-0000-00002C360000}"/>
    <cellStyle name="60% - Accent1 2 8 3" xfId="16154" xr:uid="{00000000-0005-0000-0000-00002D360000}"/>
    <cellStyle name="60% - Accent1 2 9" xfId="946" xr:uid="{00000000-0005-0000-0000-00002E360000}"/>
    <cellStyle name="60% - Accent1 2 9 2" xfId="1437" xr:uid="{00000000-0005-0000-0000-00002F360000}"/>
    <cellStyle name="60% - Accent1 2 9 2 2" xfId="16157" xr:uid="{00000000-0005-0000-0000-000030360000}"/>
    <cellStyle name="60% - Accent1 2 9 3" xfId="16156" xr:uid="{00000000-0005-0000-0000-000031360000}"/>
    <cellStyle name="60% - Accent1 3" xfId="214" xr:uid="{00000000-0005-0000-0000-000032360000}"/>
    <cellStyle name="60% - Accent1 3 10" xfId="3687" xr:uid="{00000000-0005-0000-0000-000033360000}"/>
    <cellStyle name="60% - Accent1 3 10 2" xfId="16160" xr:uid="{00000000-0005-0000-0000-000034360000}"/>
    <cellStyle name="60% - Accent1 3 10 3" xfId="16159" xr:uid="{00000000-0005-0000-0000-000035360000}"/>
    <cellStyle name="60% - Accent1 3 11" xfId="16161" xr:uid="{00000000-0005-0000-0000-000036360000}"/>
    <cellStyle name="60% - Accent1 3 11 2" xfId="16162" xr:uid="{00000000-0005-0000-0000-000037360000}"/>
    <cellStyle name="60% - Accent1 3 12" xfId="16163" xr:uid="{00000000-0005-0000-0000-000038360000}"/>
    <cellStyle name="60% - Accent1 3 13" xfId="16158" xr:uid="{00000000-0005-0000-0000-000039360000}"/>
    <cellStyle name="60% - Accent1 3 2" xfId="1460" xr:uid="{00000000-0005-0000-0000-00003A360000}"/>
    <cellStyle name="60% - Accent1 3 2 2" xfId="1825" xr:uid="{00000000-0005-0000-0000-00003B360000}"/>
    <cellStyle name="60% - Accent1 3 2 2 2" xfId="16166" xr:uid="{00000000-0005-0000-0000-00003C360000}"/>
    <cellStyle name="60% - Accent1 3 2 2 3" xfId="16165" xr:uid="{00000000-0005-0000-0000-00003D360000}"/>
    <cellStyle name="60% - Accent1 3 2 3" xfId="2200" xr:uid="{00000000-0005-0000-0000-00003E360000}"/>
    <cellStyle name="60% - Accent1 3 2 3 2" xfId="16168" xr:uid="{00000000-0005-0000-0000-00003F360000}"/>
    <cellStyle name="60% - Accent1 3 2 3 3" xfId="16167" xr:uid="{00000000-0005-0000-0000-000040360000}"/>
    <cellStyle name="60% - Accent1 3 2 4" xfId="2574" xr:uid="{00000000-0005-0000-0000-000041360000}"/>
    <cellStyle name="60% - Accent1 3 2 4 2" xfId="16170" xr:uid="{00000000-0005-0000-0000-000042360000}"/>
    <cellStyle name="60% - Accent1 3 2 4 3" xfId="16169" xr:uid="{00000000-0005-0000-0000-000043360000}"/>
    <cellStyle name="60% - Accent1 3 2 5" xfId="2946" xr:uid="{00000000-0005-0000-0000-000044360000}"/>
    <cellStyle name="60% - Accent1 3 2 5 2" xfId="16172" xr:uid="{00000000-0005-0000-0000-000045360000}"/>
    <cellStyle name="60% - Accent1 3 2 5 3" xfId="16171" xr:uid="{00000000-0005-0000-0000-000046360000}"/>
    <cellStyle name="60% - Accent1 3 2 6" xfId="3318" xr:uid="{00000000-0005-0000-0000-000047360000}"/>
    <cellStyle name="60% - Accent1 3 2 6 2" xfId="16174" xr:uid="{00000000-0005-0000-0000-000048360000}"/>
    <cellStyle name="60% - Accent1 3 2 6 3" xfId="16173" xr:uid="{00000000-0005-0000-0000-000049360000}"/>
    <cellStyle name="60% - Accent1 3 2 7" xfId="16175" xr:uid="{00000000-0005-0000-0000-00004A360000}"/>
    <cellStyle name="60% - Accent1 3 2 8" xfId="16164" xr:uid="{00000000-0005-0000-0000-00004B360000}"/>
    <cellStyle name="60% - Accent1 3 3" xfId="1587" xr:uid="{00000000-0005-0000-0000-00004C360000}"/>
    <cellStyle name="60% - Accent1 3 3 2" xfId="1902" xr:uid="{00000000-0005-0000-0000-00004D360000}"/>
    <cellStyle name="60% - Accent1 3 3 2 2" xfId="16178" xr:uid="{00000000-0005-0000-0000-00004E360000}"/>
    <cellStyle name="60% - Accent1 3 3 2 3" xfId="16177" xr:uid="{00000000-0005-0000-0000-00004F360000}"/>
    <cellStyle name="60% - Accent1 3 3 3" xfId="2277" xr:uid="{00000000-0005-0000-0000-000050360000}"/>
    <cellStyle name="60% - Accent1 3 3 3 2" xfId="16180" xr:uid="{00000000-0005-0000-0000-000051360000}"/>
    <cellStyle name="60% - Accent1 3 3 3 3" xfId="16179" xr:uid="{00000000-0005-0000-0000-000052360000}"/>
    <cellStyle name="60% - Accent1 3 3 4" xfId="2650" xr:uid="{00000000-0005-0000-0000-000053360000}"/>
    <cellStyle name="60% - Accent1 3 3 4 2" xfId="16182" xr:uid="{00000000-0005-0000-0000-000054360000}"/>
    <cellStyle name="60% - Accent1 3 3 4 3" xfId="16181" xr:uid="{00000000-0005-0000-0000-000055360000}"/>
    <cellStyle name="60% - Accent1 3 3 5" xfId="3023" xr:uid="{00000000-0005-0000-0000-000056360000}"/>
    <cellStyle name="60% - Accent1 3 3 5 2" xfId="16184" xr:uid="{00000000-0005-0000-0000-000057360000}"/>
    <cellStyle name="60% - Accent1 3 3 5 3" xfId="16183" xr:uid="{00000000-0005-0000-0000-000058360000}"/>
    <cellStyle name="60% - Accent1 3 3 6" xfId="3394" xr:uid="{00000000-0005-0000-0000-000059360000}"/>
    <cellStyle name="60% - Accent1 3 3 6 2" xfId="16186" xr:uid="{00000000-0005-0000-0000-00005A360000}"/>
    <cellStyle name="60% - Accent1 3 3 6 3" xfId="16185" xr:uid="{00000000-0005-0000-0000-00005B360000}"/>
    <cellStyle name="60% - Accent1 3 3 7" xfId="16187" xr:uid="{00000000-0005-0000-0000-00005C360000}"/>
    <cellStyle name="60% - Accent1 3 3 8" xfId="16176" xr:uid="{00000000-0005-0000-0000-00005D360000}"/>
    <cellStyle name="60% - Accent1 3 4" xfId="1724" xr:uid="{00000000-0005-0000-0000-00005E360000}"/>
    <cellStyle name="60% - Accent1 3 4 2" xfId="1946" xr:uid="{00000000-0005-0000-0000-00005F360000}"/>
    <cellStyle name="60% - Accent1 3 4 2 2" xfId="16190" xr:uid="{00000000-0005-0000-0000-000060360000}"/>
    <cellStyle name="60% - Accent1 3 4 2 3" xfId="16189" xr:uid="{00000000-0005-0000-0000-000061360000}"/>
    <cellStyle name="60% - Accent1 3 4 3" xfId="2321" xr:uid="{00000000-0005-0000-0000-000062360000}"/>
    <cellStyle name="60% - Accent1 3 4 3 2" xfId="16192" xr:uid="{00000000-0005-0000-0000-000063360000}"/>
    <cellStyle name="60% - Accent1 3 4 3 3" xfId="16191" xr:uid="{00000000-0005-0000-0000-000064360000}"/>
    <cellStyle name="60% - Accent1 3 4 4" xfId="2694" xr:uid="{00000000-0005-0000-0000-000065360000}"/>
    <cellStyle name="60% - Accent1 3 4 4 2" xfId="16194" xr:uid="{00000000-0005-0000-0000-000066360000}"/>
    <cellStyle name="60% - Accent1 3 4 4 3" xfId="16193" xr:uid="{00000000-0005-0000-0000-000067360000}"/>
    <cellStyle name="60% - Accent1 3 4 5" xfId="3067" xr:uid="{00000000-0005-0000-0000-000068360000}"/>
    <cellStyle name="60% - Accent1 3 4 5 2" xfId="16196" xr:uid="{00000000-0005-0000-0000-000069360000}"/>
    <cellStyle name="60% - Accent1 3 4 5 3" xfId="16195" xr:uid="{00000000-0005-0000-0000-00006A360000}"/>
    <cellStyle name="60% - Accent1 3 4 6" xfId="3438" xr:uid="{00000000-0005-0000-0000-00006B360000}"/>
    <cellStyle name="60% - Accent1 3 4 6 2" xfId="16198" xr:uid="{00000000-0005-0000-0000-00006C360000}"/>
    <cellStyle name="60% - Accent1 3 4 6 3" xfId="16197" xr:uid="{00000000-0005-0000-0000-00006D360000}"/>
    <cellStyle name="60% - Accent1 3 4 7" xfId="16199" xr:uid="{00000000-0005-0000-0000-00006E360000}"/>
    <cellStyle name="60% - Accent1 3 4 8" xfId="16188" xr:uid="{00000000-0005-0000-0000-00006F360000}"/>
    <cellStyle name="60% - Accent1 3 5" xfId="2059" xr:uid="{00000000-0005-0000-0000-000070360000}"/>
    <cellStyle name="60% - Accent1 3 5 2" xfId="16201" xr:uid="{00000000-0005-0000-0000-000071360000}"/>
    <cellStyle name="60% - Accent1 3 5 3" xfId="16200" xr:uid="{00000000-0005-0000-0000-000072360000}"/>
    <cellStyle name="60% - Accent1 3 6" xfId="2433" xr:uid="{00000000-0005-0000-0000-000073360000}"/>
    <cellStyle name="60% - Accent1 3 6 2" xfId="16203" xr:uid="{00000000-0005-0000-0000-000074360000}"/>
    <cellStyle name="60% - Accent1 3 6 3" xfId="16202" xr:uid="{00000000-0005-0000-0000-000075360000}"/>
    <cellStyle name="60% - Accent1 3 7" xfId="2805" xr:uid="{00000000-0005-0000-0000-000076360000}"/>
    <cellStyle name="60% - Accent1 3 7 2" xfId="16205" xr:uid="{00000000-0005-0000-0000-000077360000}"/>
    <cellStyle name="60% - Accent1 3 7 3" xfId="16204" xr:uid="{00000000-0005-0000-0000-000078360000}"/>
    <cellStyle name="60% - Accent1 3 8" xfId="3176" xr:uid="{00000000-0005-0000-0000-000079360000}"/>
    <cellStyle name="60% - Accent1 3 8 2" xfId="16207" xr:uid="{00000000-0005-0000-0000-00007A360000}"/>
    <cellStyle name="60% - Accent1 3 8 3" xfId="16206" xr:uid="{00000000-0005-0000-0000-00007B360000}"/>
    <cellStyle name="60% - Accent1 3 9" xfId="3551" xr:uid="{00000000-0005-0000-0000-00007C360000}"/>
    <cellStyle name="60% - Accent1 3 9 2" xfId="16209" xr:uid="{00000000-0005-0000-0000-00007D360000}"/>
    <cellStyle name="60% - Accent1 3 9 3" xfId="16208" xr:uid="{00000000-0005-0000-0000-00007E360000}"/>
    <cellStyle name="60% - Accent1 4" xfId="247" xr:uid="{00000000-0005-0000-0000-00007F360000}"/>
    <cellStyle name="60% - Accent1 4 10" xfId="3731" xr:uid="{00000000-0005-0000-0000-000080360000}"/>
    <cellStyle name="60% - Accent1 4 10 2" xfId="16212" xr:uid="{00000000-0005-0000-0000-000081360000}"/>
    <cellStyle name="60% - Accent1 4 10 3" xfId="16211" xr:uid="{00000000-0005-0000-0000-000082360000}"/>
    <cellStyle name="60% - Accent1 4 11" xfId="1296" xr:uid="{00000000-0005-0000-0000-000083360000}"/>
    <cellStyle name="60% - Accent1 4 11 2" xfId="16214" xr:uid="{00000000-0005-0000-0000-000084360000}"/>
    <cellStyle name="60% - Accent1 4 11 3" xfId="16213" xr:uid="{00000000-0005-0000-0000-000085360000}"/>
    <cellStyle name="60% - Accent1 4 12" xfId="16215" xr:uid="{00000000-0005-0000-0000-000086360000}"/>
    <cellStyle name="60% - Accent1 4 13" xfId="16210" xr:uid="{00000000-0005-0000-0000-000087360000}"/>
    <cellStyle name="60% - Accent1 4 2" xfId="1505" xr:uid="{00000000-0005-0000-0000-000088360000}"/>
    <cellStyle name="60% - Accent1 4 2 2" xfId="16217" xr:uid="{00000000-0005-0000-0000-000089360000}"/>
    <cellStyle name="60% - Accent1 4 2 3" xfId="16216" xr:uid="{00000000-0005-0000-0000-00008A360000}"/>
    <cellStyle name="60% - Accent1 4 3" xfId="1630" xr:uid="{00000000-0005-0000-0000-00008B360000}"/>
    <cellStyle name="60% - Accent1 4 3 2" xfId="16219" xr:uid="{00000000-0005-0000-0000-00008C360000}"/>
    <cellStyle name="60% - Accent1 4 3 3" xfId="16218" xr:uid="{00000000-0005-0000-0000-00008D360000}"/>
    <cellStyle name="60% - Accent1 4 4" xfId="1795" xr:uid="{00000000-0005-0000-0000-00008E360000}"/>
    <cellStyle name="60% - Accent1 4 4 2" xfId="16221" xr:uid="{00000000-0005-0000-0000-00008F360000}"/>
    <cellStyle name="60% - Accent1 4 4 3" xfId="16220" xr:uid="{00000000-0005-0000-0000-000090360000}"/>
    <cellStyle name="60% - Accent1 4 5" xfId="2131" xr:uid="{00000000-0005-0000-0000-000091360000}"/>
    <cellStyle name="60% - Accent1 4 5 2" xfId="16223" xr:uid="{00000000-0005-0000-0000-000092360000}"/>
    <cellStyle name="60% - Accent1 4 5 3" xfId="16222" xr:uid="{00000000-0005-0000-0000-000093360000}"/>
    <cellStyle name="60% - Accent1 4 6" xfId="2505" xr:uid="{00000000-0005-0000-0000-000094360000}"/>
    <cellStyle name="60% - Accent1 4 6 2" xfId="16225" xr:uid="{00000000-0005-0000-0000-000095360000}"/>
    <cellStyle name="60% - Accent1 4 6 3" xfId="16224" xr:uid="{00000000-0005-0000-0000-000096360000}"/>
    <cellStyle name="60% - Accent1 4 7" xfId="2877" xr:uid="{00000000-0005-0000-0000-000097360000}"/>
    <cellStyle name="60% - Accent1 4 7 2" xfId="16227" xr:uid="{00000000-0005-0000-0000-000098360000}"/>
    <cellStyle name="60% - Accent1 4 7 3" xfId="16226" xr:uid="{00000000-0005-0000-0000-000099360000}"/>
    <cellStyle name="60% - Accent1 4 8" xfId="3248" xr:uid="{00000000-0005-0000-0000-00009A360000}"/>
    <cellStyle name="60% - Accent1 4 8 2" xfId="16229" xr:uid="{00000000-0005-0000-0000-00009B360000}"/>
    <cellStyle name="60% - Accent1 4 8 3" xfId="16228" xr:uid="{00000000-0005-0000-0000-00009C360000}"/>
    <cellStyle name="60% - Accent1 4 9" xfId="3594" xr:uid="{00000000-0005-0000-0000-00009D360000}"/>
    <cellStyle name="60% - Accent1 4 9 2" xfId="16231" xr:uid="{00000000-0005-0000-0000-00009E360000}"/>
    <cellStyle name="60% - Accent1 4 9 3" xfId="16230" xr:uid="{00000000-0005-0000-0000-00009F360000}"/>
    <cellStyle name="60% - Accent1 5" xfId="407" xr:uid="{00000000-0005-0000-0000-0000A0360000}"/>
    <cellStyle name="60% - Accent1 5 2" xfId="1769" xr:uid="{00000000-0005-0000-0000-0000A1360000}"/>
    <cellStyle name="60% - Accent1 5 2 2" xfId="16234" xr:uid="{00000000-0005-0000-0000-0000A2360000}"/>
    <cellStyle name="60% - Accent1 5 2 3" xfId="16233" xr:uid="{00000000-0005-0000-0000-0000A3360000}"/>
    <cellStyle name="60% - Accent1 5 3" xfId="2104" xr:uid="{00000000-0005-0000-0000-0000A4360000}"/>
    <cellStyle name="60% - Accent1 5 3 2" xfId="16236" xr:uid="{00000000-0005-0000-0000-0000A5360000}"/>
    <cellStyle name="60% - Accent1 5 3 3" xfId="16235" xr:uid="{00000000-0005-0000-0000-0000A6360000}"/>
    <cellStyle name="60% - Accent1 5 4" xfId="2478" xr:uid="{00000000-0005-0000-0000-0000A7360000}"/>
    <cellStyle name="60% - Accent1 5 4 2" xfId="16238" xr:uid="{00000000-0005-0000-0000-0000A8360000}"/>
    <cellStyle name="60% - Accent1 5 4 3" xfId="16237" xr:uid="{00000000-0005-0000-0000-0000A9360000}"/>
    <cellStyle name="60% - Accent1 5 5" xfId="2850" xr:uid="{00000000-0005-0000-0000-0000AA360000}"/>
    <cellStyle name="60% - Accent1 5 5 2" xfId="16240" xr:uid="{00000000-0005-0000-0000-0000AB360000}"/>
    <cellStyle name="60% - Accent1 5 5 3" xfId="16239" xr:uid="{00000000-0005-0000-0000-0000AC360000}"/>
    <cellStyle name="60% - Accent1 5 6" xfId="3221" xr:uid="{00000000-0005-0000-0000-0000AD360000}"/>
    <cellStyle name="60% - Accent1 5 6 2" xfId="16242" xr:uid="{00000000-0005-0000-0000-0000AE360000}"/>
    <cellStyle name="60% - Accent1 5 6 3" xfId="16241" xr:uid="{00000000-0005-0000-0000-0000AF360000}"/>
    <cellStyle name="60% - Accent1 5 7" xfId="16243" xr:uid="{00000000-0005-0000-0000-0000B0360000}"/>
    <cellStyle name="60% - Accent1 5 7 2" xfId="16244" xr:uid="{00000000-0005-0000-0000-0000B1360000}"/>
    <cellStyle name="60% - Accent1 5 8" xfId="16245" xr:uid="{00000000-0005-0000-0000-0000B2360000}"/>
    <cellStyle name="60% - Accent1 5 9" xfId="16232" xr:uid="{00000000-0005-0000-0000-0000B3360000}"/>
    <cellStyle name="60% - Accent1 6" xfId="408" xr:uid="{00000000-0005-0000-0000-0000B4360000}"/>
    <cellStyle name="60% - Accent1 6 10" xfId="16246" xr:uid="{00000000-0005-0000-0000-0000B5360000}"/>
    <cellStyle name="60% - Accent1 6 2" xfId="1981" xr:uid="{00000000-0005-0000-0000-0000B6360000}"/>
    <cellStyle name="60% - Accent1 6 2 2" xfId="16248" xr:uid="{00000000-0005-0000-0000-0000B7360000}"/>
    <cellStyle name="60% - Accent1 6 2 3" xfId="16247" xr:uid="{00000000-0005-0000-0000-0000B8360000}"/>
    <cellStyle name="60% - Accent1 6 3" xfId="2356" xr:uid="{00000000-0005-0000-0000-0000B9360000}"/>
    <cellStyle name="60% - Accent1 6 3 2" xfId="16250" xr:uid="{00000000-0005-0000-0000-0000BA360000}"/>
    <cellStyle name="60% - Accent1 6 3 3" xfId="16249" xr:uid="{00000000-0005-0000-0000-0000BB360000}"/>
    <cellStyle name="60% - Accent1 6 4" xfId="2729" xr:uid="{00000000-0005-0000-0000-0000BC360000}"/>
    <cellStyle name="60% - Accent1 6 4 2" xfId="16252" xr:uid="{00000000-0005-0000-0000-0000BD360000}"/>
    <cellStyle name="60% - Accent1 6 4 3" xfId="16251" xr:uid="{00000000-0005-0000-0000-0000BE360000}"/>
    <cellStyle name="60% - Accent1 6 5" xfId="3102" xr:uid="{00000000-0005-0000-0000-0000BF360000}"/>
    <cellStyle name="60% - Accent1 6 5 2" xfId="16254" xr:uid="{00000000-0005-0000-0000-0000C0360000}"/>
    <cellStyle name="60% - Accent1 6 5 3" xfId="16253" xr:uid="{00000000-0005-0000-0000-0000C1360000}"/>
    <cellStyle name="60% - Accent1 6 6" xfId="3473" xr:uid="{00000000-0005-0000-0000-0000C2360000}"/>
    <cellStyle name="60% - Accent1 6 6 2" xfId="16256" xr:uid="{00000000-0005-0000-0000-0000C3360000}"/>
    <cellStyle name="60% - Accent1 6 6 3" xfId="16255" xr:uid="{00000000-0005-0000-0000-0000C4360000}"/>
    <cellStyle name="60% - Accent1 6 7" xfId="3779" xr:uid="{00000000-0005-0000-0000-0000C5360000}"/>
    <cellStyle name="60% - Accent1 6 7 2" xfId="16258" xr:uid="{00000000-0005-0000-0000-0000C6360000}"/>
    <cellStyle name="60% - Accent1 6 7 3" xfId="16257" xr:uid="{00000000-0005-0000-0000-0000C7360000}"/>
    <cellStyle name="60% - Accent1 6 8" xfId="16259" xr:uid="{00000000-0005-0000-0000-0000C8360000}"/>
    <cellStyle name="60% - Accent1 6 8 2" xfId="16260" xr:uid="{00000000-0005-0000-0000-0000C9360000}"/>
    <cellStyle name="60% - Accent1 6 9" xfId="16261" xr:uid="{00000000-0005-0000-0000-0000CA360000}"/>
    <cellStyle name="60% - Accent1 7" xfId="409" xr:uid="{00000000-0005-0000-0000-0000CB360000}"/>
    <cellStyle name="60% - Accent1 7 2" xfId="16263" xr:uid="{00000000-0005-0000-0000-0000CC360000}"/>
    <cellStyle name="60% - Accent1 7 3" xfId="16262" xr:uid="{00000000-0005-0000-0000-0000CD360000}"/>
    <cellStyle name="60% - Accent1 8" xfId="556" xr:uid="{00000000-0005-0000-0000-0000CE360000}"/>
    <cellStyle name="60% - Accent1 8 2" xfId="16265" xr:uid="{00000000-0005-0000-0000-0000CF360000}"/>
    <cellStyle name="60% - Accent1 8 3" xfId="16264" xr:uid="{00000000-0005-0000-0000-0000D0360000}"/>
    <cellStyle name="60% - Accent1 9" xfId="557" xr:uid="{00000000-0005-0000-0000-0000D1360000}"/>
    <cellStyle name="60% - Accent1 9 2" xfId="16267" xr:uid="{00000000-0005-0000-0000-0000D2360000}"/>
    <cellStyle name="60% - Accent1 9 3" xfId="16266" xr:uid="{00000000-0005-0000-0000-0000D3360000}"/>
    <cellStyle name="60% - Accent2 10" xfId="692" xr:uid="{00000000-0005-0000-0000-0000D4360000}"/>
    <cellStyle name="60% - Accent2 10 2" xfId="16270" xr:uid="{00000000-0005-0000-0000-0000D5360000}"/>
    <cellStyle name="60% - Accent2 10 3" xfId="16269" xr:uid="{00000000-0005-0000-0000-0000D6360000}"/>
    <cellStyle name="60% - Accent2 11" xfId="693" xr:uid="{00000000-0005-0000-0000-0000D7360000}"/>
    <cellStyle name="60% - Accent2 11 2" xfId="16272" xr:uid="{00000000-0005-0000-0000-0000D8360000}"/>
    <cellStyle name="60% - Accent2 11 3" xfId="16271" xr:uid="{00000000-0005-0000-0000-0000D9360000}"/>
    <cellStyle name="60% - Accent2 12" xfId="837" xr:uid="{00000000-0005-0000-0000-0000DA360000}"/>
    <cellStyle name="60% - Accent2 12 2" xfId="16273" xr:uid="{00000000-0005-0000-0000-0000DB360000}"/>
    <cellStyle name="60% - Accent2 13" xfId="838" xr:uid="{00000000-0005-0000-0000-0000DC360000}"/>
    <cellStyle name="60% - Accent2 13 2" xfId="16268" xr:uid="{00000000-0005-0000-0000-0000DD360000}"/>
    <cellStyle name="60% - Accent2 14" xfId="947" xr:uid="{00000000-0005-0000-0000-0000DE360000}"/>
    <cellStyle name="60% - Accent2 2" xfId="81" xr:uid="{00000000-0005-0000-0000-0000DF360000}"/>
    <cellStyle name="60% - Accent2 2 10" xfId="1680" xr:uid="{00000000-0005-0000-0000-0000E0360000}"/>
    <cellStyle name="60% - Accent2 2 10 2" xfId="16276" xr:uid="{00000000-0005-0000-0000-0000E1360000}"/>
    <cellStyle name="60% - Accent2 2 10 3" xfId="16275" xr:uid="{00000000-0005-0000-0000-0000E2360000}"/>
    <cellStyle name="60% - Accent2 2 11" xfId="2015" xr:uid="{00000000-0005-0000-0000-0000E3360000}"/>
    <cellStyle name="60% - Accent2 2 11 2" xfId="16278" xr:uid="{00000000-0005-0000-0000-0000E4360000}"/>
    <cellStyle name="60% - Accent2 2 11 3" xfId="16277" xr:uid="{00000000-0005-0000-0000-0000E5360000}"/>
    <cellStyle name="60% - Accent2 2 12" xfId="2389" xr:uid="{00000000-0005-0000-0000-0000E6360000}"/>
    <cellStyle name="60% - Accent2 2 12 2" xfId="16280" xr:uid="{00000000-0005-0000-0000-0000E7360000}"/>
    <cellStyle name="60% - Accent2 2 12 3" xfId="16279" xr:uid="{00000000-0005-0000-0000-0000E8360000}"/>
    <cellStyle name="60% - Accent2 2 13" xfId="2762" xr:uid="{00000000-0005-0000-0000-0000E9360000}"/>
    <cellStyle name="60% - Accent2 2 13 2" xfId="16282" xr:uid="{00000000-0005-0000-0000-0000EA360000}"/>
    <cellStyle name="60% - Accent2 2 13 3" xfId="16281" xr:uid="{00000000-0005-0000-0000-0000EB360000}"/>
    <cellStyle name="60% - Accent2 2 14" xfId="3136" xr:uid="{00000000-0005-0000-0000-0000EC360000}"/>
    <cellStyle name="60% - Accent2 2 14 2" xfId="16284" xr:uid="{00000000-0005-0000-0000-0000ED360000}"/>
    <cellStyle name="60% - Accent2 2 14 3" xfId="16283" xr:uid="{00000000-0005-0000-0000-0000EE360000}"/>
    <cellStyle name="60% - Accent2 2 15" xfId="3507" xr:uid="{00000000-0005-0000-0000-0000EF360000}"/>
    <cellStyle name="60% - Accent2 2 15 2" xfId="16286" xr:uid="{00000000-0005-0000-0000-0000F0360000}"/>
    <cellStyle name="60% - Accent2 2 15 3" xfId="16285" xr:uid="{00000000-0005-0000-0000-0000F1360000}"/>
    <cellStyle name="60% - Accent2 2 16" xfId="3645" xr:uid="{00000000-0005-0000-0000-0000F2360000}"/>
    <cellStyle name="60% - Accent2 2 16 2" xfId="16288" xr:uid="{00000000-0005-0000-0000-0000F3360000}"/>
    <cellStyle name="60% - Accent2 2 16 3" xfId="16287" xr:uid="{00000000-0005-0000-0000-0000F4360000}"/>
    <cellStyle name="60% - Accent2 2 17" xfId="16289" xr:uid="{00000000-0005-0000-0000-0000F5360000}"/>
    <cellStyle name="60% - Accent2 2 17 2" xfId="16290" xr:uid="{00000000-0005-0000-0000-0000F6360000}"/>
    <cellStyle name="60% - Accent2 2 18" xfId="16291" xr:uid="{00000000-0005-0000-0000-0000F7360000}"/>
    <cellStyle name="60% - Accent2 2 19" xfId="16274" xr:uid="{00000000-0005-0000-0000-0000F8360000}"/>
    <cellStyle name="60% - Accent2 2 2" xfId="125" xr:uid="{00000000-0005-0000-0000-0000F9360000}"/>
    <cellStyle name="60% - Accent2 2 2 2" xfId="177" xr:uid="{00000000-0005-0000-0000-0000FA360000}"/>
    <cellStyle name="60% - Accent2 2 2 2 2" xfId="16294" xr:uid="{00000000-0005-0000-0000-0000FB360000}"/>
    <cellStyle name="60% - Accent2 2 2 2 3" xfId="16293" xr:uid="{00000000-0005-0000-0000-0000FC360000}"/>
    <cellStyle name="60% - Accent2 2 2 3" xfId="341" xr:uid="{00000000-0005-0000-0000-0000FD360000}"/>
    <cellStyle name="60% - Accent2 2 2 3 2" xfId="16296" xr:uid="{00000000-0005-0000-0000-0000FE360000}"/>
    <cellStyle name="60% - Accent2 2 2 3 3" xfId="16295" xr:uid="{00000000-0005-0000-0000-0000FF360000}"/>
    <cellStyle name="60% - Accent2 2 2 4" xfId="2163" xr:uid="{00000000-0005-0000-0000-000000370000}"/>
    <cellStyle name="60% - Accent2 2 2 4 2" xfId="16298" xr:uid="{00000000-0005-0000-0000-000001370000}"/>
    <cellStyle name="60% - Accent2 2 2 4 3" xfId="16297" xr:uid="{00000000-0005-0000-0000-000002370000}"/>
    <cellStyle name="60% - Accent2 2 2 5" xfId="2537" xr:uid="{00000000-0005-0000-0000-000003370000}"/>
    <cellStyle name="60% - Accent2 2 2 5 2" xfId="16300" xr:uid="{00000000-0005-0000-0000-000004370000}"/>
    <cellStyle name="60% - Accent2 2 2 5 3" xfId="16299" xr:uid="{00000000-0005-0000-0000-000005370000}"/>
    <cellStyle name="60% - Accent2 2 2 6" xfId="2909" xr:uid="{00000000-0005-0000-0000-000006370000}"/>
    <cellStyle name="60% - Accent2 2 2 6 2" xfId="16302" xr:uid="{00000000-0005-0000-0000-000007370000}"/>
    <cellStyle name="60% - Accent2 2 2 6 3" xfId="16301" xr:uid="{00000000-0005-0000-0000-000008370000}"/>
    <cellStyle name="60% - Accent2 2 2 7" xfId="3281" xr:uid="{00000000-0005-0000-0000-000009370000}"/>
    <cellStyle name="60% - Accent2 2 2 7 2" xfId="16304" xr:uid="{00000000-0005-0000-0000-00000A370000}"/>
    <cellStyle name="60% - Accent2 2 2 7 3" xfId="16303" xr:uid="{00000000-0005-0000-0000-00000B370000}"/>
    <cellStyle name="60% - Accent2 2 2 8" xfId="16305" xr:uid="{00000000-0005-0000-0000-00000C370000}"/>
    <cellStyle name="60% - Accent2 2 2 9" xfId="16292" xr:uid="{00000000-0005-0000-0000-00000D370000}"/>
    <cellStyle name="60% - Accent2 2 20" xfId="24479" xr:uid="{00000000-0005-0000-0000-00000E370000}"/>
    <cellStyle name="60% - Accent2 2 3" xfId="290" xr:uid="{00000000-0005-0000-0000-00000F370000}"/>
    <cellStyle name="60% - Accent2 2 3 2" xfId="1339" xr:uid="{00000000-0005-0000-0000-000010370000}"/>
    <cellStyle name="60% - Accent2 2 3 2 2" xfId="16307" xr:uid="{00000000-0005-0000-0000-000011370000}"/>
    <cellStyle name="60% - Accent2 2 3 3" xfId="16306" xr:uid="{00000000-0005-0000-0000-000012370000}"/>
    <cellStyle name="60% - Accent2 2 4" xfId="410" xr:uid="{00000000-0005-0000-0000-000013370000}"/>
    <cellStyle name="60% - Accent2 2 4 2" xfId="16309" xr:uid="{00000000-0005-0000-0000-000014370000}"/>
    <cellStyle name="60% - Accent2 2 4 3" xfId="16308" xr:uid="{00000000-0005-0000-0000-000015370000}"/>
    <cellStyle name="60% - Accent2 2 5" xfId="558" xr:uid="{00000000-0005-0000-0000-000016370000}"/>
    <cellStyle name="60% - Accent2 2 5 2" xfId="16311" xr:uid="{00000000-0005-0000-0000-000017370000}"/>
    <cellStyle name="60% - Accent2 2 5 3" xfId="16310" xr:uid="{00000000-0005-0000-0000-000018370000}"/>
    <cellStyle name="60% - Accent2 2 6" xfId="694" xr:uid="{00000000-0005-0000-0000-000019370000}"/>
    <cellStyle name="60% - Accent2 2 6 2" xfId="16313" xr:uid="{00000000-0005-0000-0000-00001A370000}"/>
    <cellStyle name="60% - Accent2 2 6 3" xfId="16312" xr:uid="{00000000-0005-0000-0000-00001B370000}"/>
    <cellStyle name="60% - Accent2 2 7" xfId="695" xr:uid="{00000000-0005-0000-0000-00001C370000}"/>
    <cellStyle name="60% - Accent2 2 7 2" xfId="16315" xr:uid="{00000000-0005-0000-0000-00001D370000}"/>
    <cellStyle name="60% - Accent2 2 7 3" xfId="16314" xr:uid="{00000000-0005-0000-0000-00001E370000}"/>
    <cellStyle name="60% - Accent2 2 8" xfId="839" xr:uid="{00000000-0005-0000-0000-00001F370000}"/>
    <cellStyle name="60% - Accent2 2 8 2" xfId="1409" xr:uid="{00000000-0005-0000-0000-000020370000}"/>
    <cellStyle name="60% - Accent2 2 8 2 2" xfId="16317" xr:uid="{00000000-0005-0000-0000-000021370000}"/>
    <cellStyle name="60% - Accent2 2 8 3" xfId="16316" xr:uid="{00000000-0005-0000-0000-000022370000}"/>
    <cellStyle name="60% - Accent2 2 9" xfId="948" xr:uid="{00000000-0005-0000-0000-000023370000}"/>
    <cellStyle name="60% - Accent2 2 9 2" xfId="1567" xr:uid="{00000000-0005-0000-0000-000024370000}"/>
    <cellStyle name="60% - Accent2 2 9 2 2" xfId="16319" xr:uid="{00000000-0005-0000-0000-000025370000}"/>
    <cellStyle name="60% - Accent2 2 9 3" xfId="16318" xr:uid="{00000000-0005-0000-0000-000026370000}"/>
    <cellStyle name="60% - Accent2 3" xfId="218" xr:uid="{00000000-0005-0000-0000-000027370000}"/>
    <cellStyle name="60% - Accent2 3 10" xfId="3688" xr:uid="{00000000-0005-0000-0000-000028370000}"/>
    <cellStyle name="60% - Accent2 3 10 2" xfId="16322" xr:uid="{00000000-0005-0000-0000-000029370000}"/>
    <cellStyle name="60% - Accent2 3 10 3" xfId="16321" xr:uid="{00000000-0005-0000-0000-00002A370000}"/>
    <cellStyle name="60% - Accent2 3 11" xfId="16323" xr:uid="{00000000-0005-0000-0000-00002B370000}"/>
    <cellStyle name="60% - Accent2 3 11 2" xfId="16324" xr:uid="{00000000-0005-0000-0000-00002C370000}"/>
    <cellStyle name="60% - Accent2 3 12" xfId="16325" xr:uid="{00000000-0005-0000-0000-00002D370000}"/>
    <cellStyle name="60% - Accent2 3 13" xfId="16320" xr:uid="{00000000-0005-0000-0000-00002E370000}"/>
    <cellStyle name="60% - Accent2 3 2" xfId="1461" xr:uid="{00000000-0005-0000-0000-00002F370000}"/>
    <cellStyle name="60% - Accent2 3 2 2" xfId="1829" xr:uid="{00000000-0005-0000-0000-000030370000}"/>
    <cellStyle name="60% - Accent2 3 2 2 2" xfId="16328" xr:uid="{00000000-0005-0000-0000-000031370000}"/>
    <cellStyle name="60% - Accent2 3 2 2 3" xfId="16327" xr:uid="{00000000-0005-0000-0000-000032370000}"/>
    <cellStyle name="60% - Accent2 3 2 3" xfId="2204" xr:uid="{00000000-0005-0000-0000-000033370000}"/>
    <cellStyle name="60% - Accent2 3 2 3 2" xfId="16330" xr:uid="{00000000-0005-0000-0000-000034370000}"/>
    <cellStyle name="60% - Accent2 3 2 3 3" xfId="16329" xr:uid="{00000000-0005-0000-0000-000035370000}"/>
    <cellStyle name="60% - Accent2 3 2 4" xfId="2578" xr:uid="{00000000-0005-0000-0000-000036370000}"/>
    <cellStyle name="60% - Accent2 3 2 4 2" xfId="16332" xr:uid="{00000000-0005-0000-0000-000037370000}"/>
    <cellStyle name="60% - Accent2 3 2 4 3" xfId="16331" xr:uid="{00000000-0005-0000-0000-000038370000}"/>
    <cellStyle name="60% - Accent2 3 2 5" xfId="2950" xr:uid="{00000000-0005-0000-0000-000039370000}"/>
    <cellStyle name="60% - Accent2 3 2 5 2" xfId="16334" xr:uid="{00000000-0005-0000-0000-00003A370000}"/>
    <cellStyle name="60% - Accent2 3 2 5 3" xfId="16333" xr:uid="{00000000-0005-0000-0000-00003B370000}"/>
    <cellStyle name="60% - Accent2 3 2 6" xfId="3322" xr:uid="{00000000-0005-0000-0000-00003C370000}"/>
    <cellStyle name="60% - Accent2 3 2 6 2" xfId="16336" xr:uid="{00000000-0005-0000-0000-00003D370000}"/>
    <cellStyle name="60% - Accent2 3 2 6 3" xfId="16335" xr:uid="{00000000-0005-0000-0000-00003E370000}"/>
    <cellStyle name="60% - Accent2 3 2 7" xfId="16337" xr:uid="{00000000-0005-0000-0000-00003F370000}"/>
    <cellStyle name="60% - Accent2 3 2 8" xfId="16326" xr:uid="{00000000-0005-0000-0000-000040370000}"/>
    <cellStyle name="60% - Accent2 3 3" xfId="1588" xr:uid="{00000000-0005-0000-0000-000041370000}"/>
    <cellStyle name="60% - Accent2 3 3 2" xfId="1906" xr:uid="{00000000-0005-0000-0000-000042370000}"/>
    <cellStyle name="60% - Accent2 3 3 2 2" xfId="16340" xr:uid="{00000000-0005-0000-0000-000043370000}"/>
    <cellStyle name="60% - Accent2 3 3 2 3" xfId="16339" xr:uid="{00000000-0005-0000-0000-000044370000}"/>
    <cellStyle name="60% - Accent2 3 3 3" xfId="2281" xr:uid="{00000000-0005-0000-0000-000045370000}"/>
    <cellStyle name="60% - Accent2 3 3 3 2" xfId="16342" xr:uid="{00000000-0005-0000-0000-000046370000}"/>
    <cellStyle name="60% - Accent2 3 3 3 3" xfId="16341" xr:uid="{00000000-0005-0000-0000-000047370000}"/>
    <cellStyle name="60% - Accent2 3 3 4" xfId="2654" xr:uid="{00000000-0005-0000-0000-000048370000}"/>
    <cellStyle name="60% - Accent2 3 3 4 2" xfId="16344" xr:uid="{00000000-0005-0000-0000-000049370000}"/>
    <cellStyle name="60% - Accent2 3 3 4 3" xfId="16343" xr:uid="{00000000-0005-0000-0000-00004A370000}"/>
    <cellStyle name="60% - Accent2 3 3 5" xfId="3027" xr:uid="{00000000-0005-0000-0000-00004B370000}"/>
    <cellStyle name="60% - Accent2 3 3 5 2" xfId="16346" xr:uid="{00000000-0005-0000-0000-00004C370000}"/>
    <cellStyle name="60% - Accent2 3 3 5 3" xfId="16345" xr:uid="{00000000-0005-0000-0000-00004D370000}"/>
    <cellStyle name="60% - Accent2 3 3 6" xfId="3398" xr:uid="{00000000-0005-0000-0000-00004E370000}"/>
    <cellStyle name="60% - Accent2 3 3 6 2" xfId="16348" xr:uid="{00000000-0005-0000-0000-00004F370000}"/>
    <cellStyle name="60% - Accent2 3 3 6 3" xfId="16347" xr:uid="{00000000-0005-0000-0000-000050370000}"/>
    <cellStyle name="60% - Accent2 3 3 7" xfId="16349" xr:uid="{00000000-0005-0000-0000-000051370000}"/>
    <cellStyle name="60% - Accent2 3 3 8" xfId="16338" xr:uid="{00000000-0005-0000-0000-000052370000}"/>
    <cellStyle name="60% - Accent2 3 4" xfId="1725" xr:uid="{00000000-0005-0000-0000-000053370000}"/>
    <cellStyle name="60% - Accent2 3 4 2" xfId="1950" xr:uid="{00000000-0005-0000-0000-000054370000}"/>
    <cellStyle name="60% - Accent2 3 4 2 2" xfId="16352" xr:uid="{00000000-0005-0000-0000-000055370000}"/>
    <cellStyle name="60% - Accent2 3 4 2 3" xfId="16351" xr:uid="{00000000-0005-0000-0000-000056370000}"/>
    <cellStyle name="60% - Accent2 3 4 3" xfId="2325" xr:uid="{00000000-0005-0000-0000-000057370000}"/>
    <cellStyle name="60% - Accent2 3 4 3 2" xfId="16354" xr:uid="{00000000-0005-0000-0000-000058370000}"/>
    <cellStyle name="60% - Accent2 3 4 3 3" xfId="16353" xr:uid="{00000000-0005-0000-0000-000059370000}"/>
    <cellStyle name="60% - Accent2 3 4 4" xfId="2698" xr:uid="{00000000-0005-0000-0000-00005A370000}"/>
    <cellStyle name="60% - Accent2 3 4 4 2" xfId="16356" xr:uid="{00000000-0005-0000-0000-00005B370000}"/>
    <cellStyle name="60% - Accent2 3 4 4 3" xfId="16355" xr:uid="{00000000-0005-0000-0000-00005C370000}"/>
    <cellStyle name="60% - Accent2 3 4 5" xfId="3071" xr:uid="{00000000-0005-0000-0000-00005D370000}"/>
    <cellStyle name="60% - Accent2 3 4 5 2" xfId="16358" xr:uid="{00000000-0005-0000-0000-00005E370000}"/>
    <cellStyle name="60% - Accent2 3 4 5 3" xfId="16357" xr:uid="{00000000-0005-0000-0000-00005F370000}"/>
    <cellStyle name="60% - Accent2 3 4 6" xfId="3442" xr:uid="{00000000-0005-0000-0000-000060370000}"/>
    <cellStyle name="60% - Accent2 3 4 6 2" xfId="16360" xr:uid="{00000000-0005-0000-0000-000061370000}"/>
    <cellStyle name="60% - Accent2 3 4 6 3" xfId="16359" xr:uid="{00000000-0005-0000-0000-000062370000}"/>
    <cellStyle name="60% - Accent2 3 4 7" xfId="16361" xr:uid="{00000000-0005-0000-0000-000063370000}"/>
    <cellStyle name="60% - Accent2 3 4 8" xfId="16350" xr:uid="{00000000-0005-0000-0000-000064370000}"/>
    <cellStyle name="60% - Accent2 3 5" xfId="2060" xr:uid="{00000000-0005-0000-0000-000065370000}"/>
    <cellStyle name="60% - Accent2 3 5 2" xfId="16363" xr:uid="{00000000-0005-0000-0000-000066370000}"/>
    <cellStyle name="60% - Accent2 3 5 3" xfId="16362" xr:uid="{00000000-0005-0000-0000-000067370000}"/>
    <cellStyle name="60% - Accent2 3 6" xfId="2434" xr:uid="{00000000-0005-0000-0000-000068370000}"/>
    <cellStyle name="60% - Accent2 3 6 2" xfId="16365" xr:uid="{00000000-0005-0000-0000-000069370000}"/>
    <cellStyle name="60% - Accent2 3 6 3" xfId="16364" xr:uid="{00000000-0005-0000-0000-00006A370000}"/>
    <cellStyle name="60% - Accent2 3 7" xfId="2806" xr:uid="{00000000-0005-0000-0000-00006B370000}"/>
    <cellStyle name="60% - Accent2 3 7 2" xfId="16367" xr:uid="{00000000-0005-0000-0000-00006C370000}"/>
    <cellStyle name="60% - Accent2 3 7 3" xfId="16366" xr:uid="{00000000-0005-0000-0000-00006D370000}"/>
    <cellStyle name="60% - Accent2 3 8" xfId="3177" xr:uid="{00000000-0005-0000-0000-00006E370000}"/>
    <cellStyle name="60% - Accent2 3 8 2" xfId="16369" xr:uid="{00000000-0005-0000-0000-00006F370000}"/>
    <cellStyle name="60% - Accent2 3 8 3" xfId="16368" xr:uid="{00000000-0005-0000-0000-000070370000}"/>
    <cellStyle name="60% - Accent2 3 9" xfId="3552" xr:uid="{00000000-0005-0000-0000-000071370000}"/>
    <cellStyle name="60% - Accent2 3 9 2" xfId="16371" xr:uid="{00000000-0005-0000-0000-000072370000}"/>
    <cellStyle name="60% - Accent2 3 9 3" xfId="16370" xr:uid="{00000000-0005-0000-0000-000073370000}"/>
    <cellStyle name="60% - Accent2 4" xfId="248" xr:uid="{00000000-0005-0000-0000-000074370000}"/>
    <cellStyle name="60% - Accent2 4 10" xfId="3732" xr:uid="{00000000-0005-0000-0000-000075370000}"/>
    <cellStyle name="60% - Accent2 4 10 2" xfId="16374" xr:uid="{00000000-0005-0000-0000-000076370000}"/>
    <cellStyle name="60% - Accent2 4 10 3" xfId="16373" xr:uid="{00000000-0005-0000-0000-000077370000}"/>
    <cellStyle name="60% - Accent2 4 11" xfId="1300" xr:uid="{00000000-0005-0000-0000-000078370000}"/>
    <cellStyle name="60% - Accent2 4 11 2" xfId="16376" xr:uid="{00000000-0005-0000-0000-000079370000}"/>
    <cellStyle name="60% - Accent2 4 11 3" xfId="16375" xr:uid="{00000000-0005-0000-0000-00007A370000}"/>
    <cellStyle name="60% - Accent2 4 12" xfId="16377" xr:uid="{00000000-0005-0000-0000-00007B370000}"/>
    <cellStyle name="60% - Accent2 4 13" xfId="16372" xr:uid="{00000000-0005-0000-0000-00007C370000}"/>
    <cellStyle name="60% - Accent2 4 2" xfId="1506" xr:uid="{00000000-0005-0000-0000-00007D370000}"/>
    <cellStyle name="60% - Accent2 4 2 2" xfId="16379" xr:uid="{00000000-0005-0000-0000-00007E370000}"/>
    <cellStyle name="60% - Accent2 4 2 3" xfId="16378" xr:uid="{00000000-0005-0000-0000-00007F370000}"/>
    <cellStyle name="60% - Accent2 4 3" xfId="1631" xr:uid="{00000000-0005-0000-0000-000080370000}"/>
    <cellStyle name="60% - Accent2 4 3 2" xfId="16381" xr:uid="{00000000-0005-0000-0000-000081370000}"/>
    <cellStyle name="60% - Accent2 4 3 3" xfId="16380" xr:uid="{00000000-0005-0000-0000-000082370000}"/>
    <cellStyle name="60% - Accent2 4 4" xfId="1794" xr:uid="{00000000-0005-0000-0000-000083370000}"/>
    <cellStyle name="60% - Accent2 4 4 2" xfId="16383" xr:uid="{00000000-0005-0000-0000-000084370000}"/>
    <cellStyle name="60% - Accent2 4 4 3" xfId="16382" xr:uid="{00000000-0005-0000-0000-000085370000}"/>
    <cellStyle name="60% - Accent2 4 5" xfId="2130" xr:uid="{00000000-0005-0000-0000-000086370000}"/>
    <cellStyle name="60% - Accent2 4 5 2" xfId="16385" xr:uid="{00000000-0005-0000-0000-000087370000}"/>
    <cellStyle name="60% - Accent2 4 5 3" xfId="16384" xr:uid="{00000000-0005-0000-0000-000088370000}"/>
    <cellStyle name="60% - Accent2 4 6" xfId="2504" xr:uid="{00000000-0005-0000-0000-000089370000}"/>
    <cellStyle name="60% - Accent2 4 6 2" xfId="16387" xr:uid="{00000000-0005-0000-0000-00008A370000}"/>
    <cellStyle name="60% - Accent2 4 6 3" xfId="16386" xr:uid="{00000000-0005-0000-0000-00008B370000}"/>
    <cellStyle name="60% - Accent2 4 7" xfId="2876" xr:uid="{00000000-0005-0000-0000-00008C370000}"/>
    <cellStyle name="60% - Accent2 4 7 2" xfId="16389" xr:uid="{00000000-0005-0000-0000-00008D370000}"/>
    <cellStyle name="60% - Accent2 4 7 3" xfId="16388" xr:uid="{00000000-0005-0000-0000-00008E370000}"/>
    <cellStyle name="60% - Accent2 4 8" xfId="3247" xr:uid="{00000000-0005-0000-0000-00008F370000}"/>
    <cellStyle name="60% - Accent2 4 8 2" xfId="16391" xr:uid="{00000000-0005-0000-0000-000090370000}"/>
    <cellStyle name="60% - Accent2 4 8 3" xfId="16390" xr:uid="{00000000-0005-0000-0000-000091370000}"/>
    <cellStyle name="60% - Accent2 4 9" xfId="3595" xr:uid="{00000000-0005-0000-0000-000092370000}"/>
    <cellStyle name="60% - Accent2 4 9 2" xfId="16393" xr:uid="{00000000-0005-0000-0000-000093370000}"/>
    <cellStyle name="60% - Accent2 4 9 3" xfId="16392" xr:uid="{00000000-0005-0000-0000-000094370000}"/>
    <cellStyle name="60% - Accent2 5" xfId="411" xr:uid="{00000000-0005-0000-0000-000095370000}"/>
    <cellStyle name="60% - Accent2 5 2" xfId="1770" xr:uid="{00000000-0005-0000-0000-000096370000}"/>
    <cellStyle name="60% - Accent2 5 2 2" xfId="16396" xr:uid="{00000000-0005-0000-0000-000097370000}"/>
    <cellStyle name="60% - Accent2 5 2 3" xfId="16395" xr:uid="{00000000-0005-0000-0000-000098370000}"/>
    <cellStyle name="60% - Accent2 5 3" xfId="2105" xr:uid="{00000000-0005-0000-0000-000099370000}"/>
    <cellStyle name="60% - Accent2 5 3 2" xfId="16398" xr:uid="{00000000-0005-0000-0000-00009A370000}"/>
    <cellStyle name="60% - Accent2 5 3 3" xfId="16397" xr:uid="{00000000-0005-0000-0000-00009B370000}"/>
    <cellStyle name="60% - Accent2 5 4" xfId="2479" xr:uid="{00000000-0005-0000-0000-00009C370000}"/>
    <cellStyle name="60% - Accent2 5 4 2" xfId="16400" xr:uid="{00000000-0005-0000-0000-00009D370000}"/>
    <cellStyle name="60% - Accent2 5 4 3" xfId="16399" xr:uid="{00000000-0005-0000-0000-00009E370000}"/>
    <cellStyle name="60% - Accent2 5 5" xfId="2851" xr:uid="{00000000-0005-0000-0000-00009F370000}"/>
    <cellStyle name="60% - Accent2 5 5 2" xfId="16402" xr:uid="{00000000-0005-0000-0000-0000A0370000}"/>
    <cellStyle name="60% - Accent2 5 5 3" xfId="16401" xr:uid="{00000000-0005-0000-0000-0000A1370000}"/>
    <cellStyle name="60% - Accent2 5 6" xfId="3222" xr:uid="{00000000-0005-0000-0000-0000A2370000}"/>
    <cellStyle name="60% - Accent2 5 6 2" xfId="16404" xr:uid="{00000000-0005-0000-0000-0000A3370000}"/>
    <cellStyle name="60% - Accent2 5 6 3" xfId="16403" xr:uid="{00000000-0005-0000-0000-0000A4370000}"/>
    <cellStyle name="60% - Accent2 5 7" xfId="16405" xr:uid="{00000000-0005-0000-0000-0000A5370000}"/>
    <cellStyle name="60% - Accent2 5 7 2" xfId="16406" xr:uid="{00000000-0005-0000-0000-0000A6370000}"/>
    <cellStyle name="60% - Accent2 5 8" xfId="16407" xr:uid="{00000000-0005-0000-0000-0000A7370000}"/>
    <cellStyle name="60% - Accent2 5 9" xfId="16394" xr:uid="{00000000-0005-0000-0000-0000A8370000}"/>
    <cellStyle name="60% - Accent2 6" xfId="412" xr:uid="{00000000-0005-0000-0000-0000A9370000}"/>
    <cellStyle name="60% - Accent2 6 10" xfId="16408" xr:uid="{00000000-0005-0000-0000-0000AA370000}"/>
    <cellStyle name="60% - Accent2 6 2" xfId="1982" xr:uid="{00000000-0005-0000-0000-0000AB370000}"/>
    <cellStyle name="60% - Accent2 6 2 2" xfId="16410" xr:uid="{00000000-0005-0000-0000-0000AC370000}"/>
    <cellStyle name="60% - Accent2 6 2 3" xfId="16409" xr:uid="{00000000-0005-0000-0000-0000AD370000}"/>
    <cellStyle name="60% - Accent2 6 3" xfId="2357" xr:uid="{00000000-0005-0000-0000-0000AE370000}"/>
    <cellStyle name="60% - Accent2 6 3 2" xfId="16412" xr:uid="{00000000-0005-0000-0000-0000AF370000}"/>
    <cellStyle name="60% - Accent2 6 3 3" xfId="16411" xr:uid="{00000000-0005-0000-0000-0000B0370000}"/>
    <cellStyle name="60% - Accent2 6 4" xfId="2730" xr:uid="{00000000-0005-0000-0000-0000B1370000}"/>
    <cellStyle name="60% - Accent2 6 4 2" xfId="16414" xr:uid="{00000000-0005-0000-0000-0000B2370000}"/>
    <cellStyle name="60% - Accent2 6 4 3" xfId="16413" xr:uid="{00000000-0005-0000-0000-0000B3370000}"/>
    <cellStyle name="60% - Accent2 6 5" xfId="3103" xr:uid="{00000000-0005-0000-0000-0000B4370000}"/>
    <cellStyle name="60% - Accent2 6 5 2" xfId="16416" xr:uid="{00000000-0005-0000-0000-0000B5370000}"/>
    <cellStyle name="60% - Accent2 6 5 3" xfId="16415" xr:uid="{00000000-0005-0000-0000-0000B6370000}"/>
    <cellStyle name="60% - Accent2 6 6" xfId="3474" xr:uid="{00000000-0005-0000-0000-0000B7370000}"/>
    <cellStyle name="60% - Accent2 6 6 2" xfId="16418" xr:uid="{00000000-0005-0000-0000-0000B8370000}"/>
    <cellStyle name="60% - Accent2 6 6 3" xfId="16417" xr:uid="{00000000-0005-0000-0000-0000B9370000}"/>
    <cellStyle name="60% - Accent2 6 7" xfId="3780" xr:uid="{00000000-0005-0000-0000-0000BA370000}"/>
    <cellStyle name="60% - Accent2 6 7 2" xfId="16420" xr:uid="{00000000-0005-0000-0000-0000BB370000}"/>
    <cellStyle name="60% - Accent2 6 7 3" xfId="16419" xr:uid="{00000000-0005-0000-0000-0000BC370000}"/>
    <cellStyle name="60% - Accent2 6 8" xfId="16421" xr:uid="{00000000-0005-0000-0000-0000BD370000}"/>
    <cellStyle name="60% - Accent2 6 8 2" xfId="16422" xr:uid="{00000000-0005-0000-0000-0000BE370000}"/>
    <cellStyle name="60% - Accent2 6 9" xfId="16423" xr:uid="{00000000-0005-0000-0000-0000BF370000}"/>
    <cellStyle name="60% - Accent2 7" xfId="413" xr:uid="{00000000-0005-0000-0000-0000C0370000}"/>
    <cellStyle name="60% - Accent2 7 2" xfId="16425" xr:uid="{00000000-0005-0000-0000-0000C1370000}"/>
    <cellStyle name="60% - Accent2 7 3" xfId="16424" xr:uid="{00000000-0005-0000-0000-0000C2370000}"/>
    <cellStyle name="60% - Accent2 8" xfId="559" xr:uid="{00000000-0005-0000-0000-0000C3370000}"/>
    <cellStyle name="60% - Accent2 8 2" xfId="16427" xr:uid="{00000000-0005-0000-0000-0000C4370000}"/>
    <cellStyle name="60% - Accent2 8 3" xfId="16426" xr:uid="{00000000-0005-0000-0000-0000C5370000}"/>
    <cellStyle name="60% - Accent2 9" xfId="560" xr:uid="{00000000-0005-0000-0000-0000C6370000}"/>
    <cellStyle name="60% - Accent2 9 2" xfId="16429" xr:uid="{00000000-0005-0000-0000-0000C7370000}"/>
    <cellStyle name="60% - Accent2 9 3" xfId="16428" xr:uid="{00000000-0005-0000-0000-0000C8370000}"/>
    <cellStyle name="60% - Accent3 10" xfId="696" xr:uid="{00000000-0005-0000-0000-0000C9370000}"/>
    <cellStyle name="60% - Accent3 10 2" xfId="16432" xr:uid="{00000000-0005-0000-0000-0000CA370000}"/>
    <cellStyle name="60% - Accent3 10 3" xfId="16431" xr:uid="{00000000-0005-0000-0000-0000CB370000}"/>
    <cellStyle name="60% - Accent3 11" xfId="697" xr:uid="{00000000-0005-0000-0000-0000CC370000}"/>
    <cellStyle name="60% - Accent3 11 2" xfId="16434" xr:uid="{00000000-0005-0000-0000-0000CD370000}"/>
    <cellStyle name="60% - Accent3 11 3" xfId="16433" xr:uid="{00000000-0005-0000-0000-0000CE370000}"/>
    <cellStyle name="60% - Accent3 12" xfId="840" xr:uid="{00000000-0005-0000-0000-0000CF370000}"/>
    <cellStyle name="60% - Accent3 12 2" xfId="16435" xr:uid="{00000000-0005-0000-0000-0000D0370000}"/>
    <cellStyle name="60% - Accent3 13" xfId="841" xr:uid="{00000000-0005-0000-0000-0000D1370000}"/>
    <cellStyle name="60% - Accent3 13 2" xfId="16430" xr:uid="{00000000-0005-0000-0000-0000D2370000}"/>
    <cellStyle name="60% - Accent3 14" xfId="949" xr:uid="{00000000-0005-0000-0000-0000D3370000}"/>
    <cellStyle name="60% - Accent3 2" xfId="82" xr:uid="{00000000-0005-0000-0000-0000D4370000}"/>
    <cellStyle name="60% - Accent3 2 10" xfId="1681" xr:uid="{00000000-0005-0000-0000-0000D5370000}"/>
    <cellStyle name="60% - Accent3 2 10 2" xfId="16438" xr:uid="{00000000-0005-0000-0000-0000D6370000}"/>
    <cellStyle name="60% - Accent3 2 10 3" xfId="16437" xr:uid="{00000000-0005-0000-0000-0000D7370000}"/>
    <cellStyle name="60% - Accent3 2 11" xfId="2016" xr:uid="{00000000-0005-0000-0000-0000D8370000}"/>
    <cellStyle name="60% - Accent3 2 11 2" xfId="16440" xr:uid="{00000000-0005-0000-0000-0000D9370000}"/>
    <cellStyle name="60% - Accent3 2 11 3" xfId="16439" xr:uid="{00000000-0005-0000-0000-0000DA370000}"/>
    <cellStyle name="60% - Accent3 2 12" xfId="2390" xr:uid="{00000000-0005-0000-0000-0000DB370000}"/>
    <cellStyle name="60% - Accent3 2 12 2" xfId="16442" xr:uid="{00000000-0005-0000-0000-0000DC370000}"/>
    <cellStyle name="60% - Accent3 2 12 3" xfId="16441" xr:uid="{00000000-0005-0000-0000-0000DD370000}"/>
    <cellStyle name="60% - Accent3 2 13" xfId="2763" xr:uid="{00000000-0005-0000-0000-0000DE370000}"/>
    <cellStyle name="60% - Accent3 2 13 2" xfId="16444" xr:uid="{00000000-0005-0000-0000-0000DF370000}"/>
    <cellStyle name="60% - Accent3 2 13 3" xfId="16443" xr:uid="{00000000-0005-0000-0000-0000E0370000}"/>
    <cellStyle name="60% - Accent3 2 14" xfId="3137" xr:uid="{00000000-0005-0000-0000-0000E1370000}"/>
    <cellStyle name="60% - Accent3 2 14 2" xfId="16446" xr:uid="{00000000-0005-0000-0000-0000E2370000}"/>
    <cellStyle name="60% - Accent3 2 14 3" xfId="16445" xr:uid="{00000000-0005-0000-0000-0000E3370000}"/>
    <cellStyle name="60% - Accent3 2 15" xfId="3508" xr:uid="{00000000-0005-0000-0000-0000E4370000}"/>
    <cellStyle name="60% - Accent3 2 15 2" xfId="16448" xr:uid="{00000000-0005-0000-0000-0000E5370000}"/>
    <cellStyle name="60% - Accent3 2 15 3" xfId="16447" xr:uid="{00000000-0005-0000-0000-0000E6370000}"/>
    <cellStyle name="60% - Accent3 2 16" xfId="3646" xr:uid="{00000000-0005-0000-0000-0000E7370000}"/>
    <cellStyle name="60% - Accent3 2 16 2" xfId="16450" xr:uid="{00000000-0005-0000-0000-0000E8370000}"/>
    <cellStyle name="60% - Accent3 2 16 3" xfId="16449" xr:uid="{00000000-0005-0000-0000-0000E9370000}"/>
    <cellStyle name="60% - Accent3 2 17" xfId="16451" xr:uid="{00000000-0005-0000-0000-0000EA370000}"/>
    <cellStyle name="60% - Accent3 2 17 2" xfId="16452" xr:uid="{00000000-0005-0000-0000-0000EB370000}"/>
    <cellStyle name="60% - Accent3 2 18" xfId="16453" xr:uid="{00000000-0005-0000-0000-0000EC370000}"/>
    <cellStyle name="60% - Accent3 2 19" xfId="16436" xr:uid="{00000000-0005-0000-0000-0000ED370000}"/>
    <cellStyle name="60% - Accent3 2 2" xfId="126" xr:uid="{00000000-0005-0000-0000-0000EE370000}"/>
    <cellStyle name="60% - Accent3 2 2 2" xfId="181" xr:uid="{00000000-0005-0000-0000-0000EF370000}"/>
    <cellStyle name="60% - Accent3 2 2 2 2" xfId="16456" xr:uid="{00000000-0005-0000-0000-0000F0370000}"/>
    <cellStyle name="60% - Accent3 2 2 2 3" xfId="16455" xr:uid="{00000000-0005-0000-0000-0000F1370000}"/>
    <cellStyle name="60% - Accent3 2 2 3" xfId="345" xr:uid="{00000000-0005-0000-0000-0000F2370000}"/>
    <cellStyle name="60% - Accent3 2 2 3 2" xfId="16458" xr:uid="{00000000-0005-0000-0000-0000F3370000}"/>
    <cellStyle name="60% - Accent3 2 2 3 3" xfId="16457" xr:uid="{00000000-0005-0000-0000-0000F4370000}"/>
    <cellStyle name="60% - Accent3 2 2 4" xfId="2167" xr:uid="{00000000-0005-0000-0000-0000F5370000}"/>
    <cellStyle name="60% - Accent3 2 2 4 2" xfId="16460" xr:uid="{00000000-0005-0000-0000-0000F6370000}"/>
    <cellStyle name="60% - Accent3 2 2 4 3" xfId="16459" xr:uid="{00000000-0005-0000-0000-0000F7370000}"/>
    <cellStyle name="60% - Accent3 2 2 5" xfId="2541" xr:uid="{00000000-0005-0000-0000-0000F8370000}"/>
    <cellStyle name="60% - Accent3 2 2 5 2" xfId="16462" xr:uid="{00000000-0005-0000-0000-0000F9370000}"/>
    <cellStyle name="60% - Accent3 2 2 5 3" xfId="16461" xr:uid="{00000000-0005-0000-0000-0000FA370000}"/>
    <cellStyle name="60% - Accent3 2 2 6" xfId="2913" xr:uid="{00000000-0005-0000-0000-0000FB370000}"/>
    <cellStyle name="60% - Accent3 2 2 6 2" xfId="16464" xr:uid="{00000000-0005-0000-0000-0000FC370000}"/>
    <cellStyle name="60% - Accent3 2 2 6 3" xfId="16463" xr:uid="{00000000-0005-0000-0000-0000FD370000}"/>
    <cellStyle name="60% - Accent3 2 2 7" xfId="3285" xr:uid="{00000000-0005-0000-0000-0000FE370000}"/>
    <cellStyle name="60% - Accent3 2 2 7 2" xfId="16466" xr:uid="{00000000-0005-0000-0000-0000FF370000}"/>
    <cellStyle name="60% - Accent3 2 2 7 3" xfId="16465" xr:uid="{00000000-0005-0000-0000-000000380000}"/>
    <cellStyle name="60% - Accent3 2 2 8" xfId="16467" xr:uid="{00000000-0005-0000-0000-000001380000}"/>
    <cellStyle name="60% - Accent3 2 2 9" xfId="16454" xr:uid="{00000000-0005-0000-0000-000002380000}"/>
    <cellStyle name="60% - Accent3 2 20" xfId="24480" xr:uid="{00000000-0005-0000-0000-000003380000}"/>
    <cellStyle name="60% - Accent3 2 3" xfId="291" xr:uid="{00000000-0005-0000-0000-000004380000}"/>
    <cellStyle name="60% - Accent3 2 3 2" xfId="1343" xr:uid="{00000000-0005-0000-0000-000005380000}"/>
    <cellStyle name="60% - Accent3 2 3 2 2" xfId="16469" xr:uid="{00000000-0005-0000-0000-000006380000}"/>
    <cellStyle name="60% - Accent3 2 3 3" xfId="16468" xr:uid="{00000000-0005-0000-0000-000007380000}"/>
    <cellStyle name="60% - Accent3 2 4" xfId="414" xr:uid="{00000000-0005-0000-0000-000008380000}"/>
    <cellStyle name="60% - Accent3 2 4 2" xfId="16471" xr:uid="{00000000-0005-0000-0000-000009380000}"/>
    <cellStyle name="60% - Accent3 2 4 3" xfId="16470" xr:uid="{00000000-0005-0000-0000-00000A380000}"/>
    <cellStyle name="60% - Accent3 2 5" xfId="561" xr:uid="{00000000-0005-0000-0000-00000B380000}"/>
    <cellStyle name="60% - Accent3 2 5 2" xfId="16473" xr:uid="{00000000-0005-0000-0000-00000C380000}"/>
    <cellStyle name="60% - Accent3 2 5 3" xfId="16472" xr:uid="{00000000-0005-0000-0000-00000D380000}"/>
    <cellStyle name="60% - Accent3 2 6" xfId="698" xr:uid="{00000000-0005-0000-0000-00000E380000}"/>
    <cellStyle name="60% - Accent3 2 6 2" xfId="16475" xr:uid="{00000000-0005-0000-0000-00000F380000}"/>
    <cellStyle name="60% - Accent3 2 6 3" xfId="16474" xr:uid="{00000000-0005-0000-0000-000010380000}"/>
    <cellStyle name="60% - Accent3 2 7" xfId="699" xr:uid="{00000000-0005-0000-0000-000011380000}"/>
    <cellStyle name="60% - Accent3 2 7 2" xfId="16477" xr:uid="{00000000-0005-0000-0000-000012380000}"/>
    <cellStyle name="60% - Accent3 2 7 3" xfId="16476" xr:uid="{00000000-0005-0000-0000-000013380000}"/>
    <cellStyle name="60% - Accent3 2 8" xfId="842" xr:uid="{00000000-0005-0000-0000-000014380000}"/>
    <cellStyle name="60% - Accent3 2 8 2" xfId="1410" xr:uid="{00000000-0005-0000-0000-000015380000}"/>
    <cellStyle name="60% - Accent3 2 8 2 2" xfId="16479" xr:uid="{00000000-0005-0000-0000-000016380000}"/>
    <cellStyle name="60% - Accent3 2 8 3" xfId="16478" xr:uid="{00000000-0005-0000-0000-000017380000}"/>
    <cellStyle name="60% - Accent3 2 9" xfId="950" xr:uid="{00000000-0005-0000-0000-000018380000}"/>
    <cellStyle name="60% - Accent3 2 9 2" xfId="1566" xr:uid="{00000000-0005-0000-0000-000019380000}"/>
    <cellStyle name="60% - Accent3 2 9 2 2" xfId="16481" xr:uid="{00000000-0005-0000-0000-00001A380000}"/>
    <cellStyle name="60% - Accent3 2 9 3" xfId="16480" xr:uid="{00000000-0005-0000-0000-00001B380000}"/>
    <cellStyle name="60% - Accent3 3" xfId="222" xr:uid="{00000000-0005-0000-0000-00001C380000}"/>
    <cellStyle name="60% - Accent3 3 10" xfId="3689" xr:uid="{00000000-0005-0000-0000-00001D380000}"/>
    <cellStyle name="60% - Accent3 3 10 2" xfId="16484" xr:uid="{00000000-0005-0000-0000-00001E380000}"/>
    <cellStyle name="60% - Accent3 3 10 3" xfId="16483" xr:uid="{00000000-0005-0000-0000-00001F380000}"/>
    <cellStyle name="60% - Accent3 3 11" xfId="16485" xr:uid="{00000000-0005-0000-0000-000020380000}"/>
    <cellStyle name="60% - Accent3 3 11 2" xfId="16486" xr:uid="{00000000-0005-0000-0000-000021380000}"/>
    <cellStyle name="60% - Accent3 3 12" xfId="16487" xr:uid="{00000000-0005-0000-0000-000022380000}"/>
    <cellStyle name="60% - Accent3 3 13" xfId="16482" xr:uid="{00000000-0005-0000-0000-000023380000}"/>
    <cellStyle name="60% - Accent3 3 2" xfId="1462" xr:uid="{00000000-0005-0000-0000-000024380000}"/>
    <cellStyle name="60% - Accent3 3 2 2" xfId="1833" xr:uid="{00000000-0005-0000-0000-000025380000}"/>
    <cellStyle name="60% - Accent3 3 2 2 2" xfId="16490" xr:uid="{00000000-0005-0000-0000-000026380000}"/>
    <cellStyle name="60% - Accent3 3 2 2 3" xfId="16489" xr:uid="{00000000-0005-0000-0000-000027380000}"/>
    <cellStyle name="60% - Accent3 3 2 3" xfId="2208" xr:uid="{00000000-0005-0000-0000-000028380000}"/>
    <cellStyle name="60% - Accent3 3 2 3 2" xfId="16492" xr:uid="{00000000-0005-0000-0000-000029380000}"/>
    <cellStyle name="60% - Accent3 3 2 3 3" xfId="16491" xr:uid="{00000000-0005-0000-0000-00002A380000}"/>
    <cellStyle name="60% - Accent3 3 2 4" xfId="2582" xr:uid="{00000000-0005-0000-0000-00002B380000}"/>
    <cellStyle name="60% - Accent3 3 2 4 2" xfId="16494" xr:uid="{00000000-0005-0000-0000-00002C380000}"/>
    <cellStyle name="60% - Accent3 3 2 4 3" xfId="16493" xr:uid="{00000000-0005-0000-0000-00002D380000}"/>
    <cellStyle name="60% - Accent3 3 2 5" xfId="2954" xr:uid="{00000000-0005-0000-0000-00002E380000}"/>
    <cellStyle name="60% - Accent3 3 2 5 2" xfId="16496" xr:uid="{00000000-0005-0000-0000-00002F380000}"/>
    <cellStyle name="60% - Accent3 3 2 5 3" xfId="16495" xr:uid="{00000000-0005-0000-0000-000030380000}"/>
    <cellStyle name="60% - Accent3 3 2 6" xfId="3326" xr:uid="{00000000-0005-0000-0000-000031380000}"/>
    <cellStyle name="60% - Accent3 3 2 6 2" xfId="16498" xr:uid="{00000000-0005-0000-0000-000032380000}"/>
    <cellStyle name="60% - Accent3 3 2 6 3" xfId="16497" xr:uid="{00000000-0005-0000-0000-000033380000}"/>
    <cellStyle name="60% - Accent3 3 2 7" xfId="16499" xr:uid="{00000000-0005-0000-0000-000034380000}"/>
    <cellStyle name="60% - Accent3 3 2 8" xfId="16488" xr:uid="{00000000-0005-0000-0000-000035380000}"/>
    <cellStyle name="60% - Accent3 3 3" xfId="1589" xr:uid="{00000000-0005-0000-0000-000036380000}"/>
    <cellStyle name="60% - Accent3 3 3 2" xfId="1910" xr:uid="{00000000-0005-0000-0000-000037380000}"/>
    <cellStyle name="60% - Accent3 3 3 2 2" xfId="16502" xr:uid="{00000000-0005-0000-0000-000038380000}"/>
    <cellStyle name="60% - Accent3 3 3 2 3" xfId="16501" xr:uid="{00000000-0005-0000-0000-000039380000}"/>
    <cellStyle name="60% - Accent3 3 3 3" xfId="2285" xr:uid="{00000000-0005-0000-0000-00003A380000}"/>
    <cellStyle name="60% - Accent3 3 3 3 2" xfId="16504" xr:uid="{00000000-0005-0000-0000-00003B380000}"/>
    <cellStyle name="60% - Accent3 3 3 3 3" xfId="16503" xr:uid="{00000000-0005-0000-0000-00003C380000}"/>
    <cellStyle name="60% - Accent3 3 3 4" xfId="2658" xr:uid="{00000000-0005-0000-0000-00003D380000}"/>
    <cellStyle name="60% - Accent3 3 3 4 2" xfId="16506" xr:uid="{00000000-0005-0000-0000-00003E380000}"/>
    <cellStyle name="60% - Accent3 3 3 4 3" xfId="16505" xr:uid="{00000000-0005-0000-0000-00003F380000}"/>
    <cellStyle name="60% - Accent3 3 3 5" xfId="3031" xr:uid="{00000000-0005-0000-0000-000040380000}"/>
    <cellStyle name="60% - Accent3 3 3 5 2" xfId="16508" xr:uid="{00000000-0005-0000-0000-000041380000}"/>
    <cellStyle name="60% - Accent3 3 3 5 3" xfId="16507" xr:uid="{00000000-0005-0000-0000-000042380000}"/>
    <cellStyle name="60% - Accent3 3 3 6" xfId="3402" xr:uid="{00000000-0005-0000-0000-000043380000}"/>
    <cellStyle name="60% - Accent3 3 3 6 2" xfId="16510" xr:uid="{00000000-0005-0000-0000-000044380000}"/>
    <cellStyle name="60% - Accent3 3 3 6 3" xfId="16509" xr:uid="{00000000-0005-0000-0000-000045380000}"/>
    <cellStyle name="60% - Accent3 3 3 7" xfId="16511" xr:uid="{00000000-0005-0000-0000-000046380000}"/>
    <cellStyle name="60% - Accent3 3 3 8" xfId="16500" xr:uid="{00000000-0005-0000-0000-000047380000}"/>
    <cellStyle name="60% - Accent3 3 4" xfId="1726" xr:uid="{00000000-0005-0000-0000-000048380000}"/>
    <cellStyle name="60% - Accent3 3 4 2" xfId="1954" xr:uid="{00000000-0005-0000-0000-000049380000}"/>
    <cellStyle name="60% - Accent3 3 4 2 2" xfId="16514" xr:uid="{00000000-0005-0000-0000-00004A380000}"/>
    <cellStyle name="60% - Accent3 3 4 2 3" xfId="16513" xr:uid="{00000000-0005-0000-0000-00004B380000}"/>
    <cellStyle name="60% - Accent3 3 4 3" xfId="2329" xr:uid="{00000000-0005-0000-0000-00004C380000}"/>
    <cellStyle name="60% - Accent3 3 4 3 2" xfId="16516" xr:uid="{00000000-0005-0000-0000-00004D380000}"/>
    <cellStyle name="60% - Accent3 3 4 3 3" xfId="16515" xr:uid="{00000000-0005-0000-0000-00004E380000}"/>
    <cellStyle name="60% - Accent3 3 4 4" xfId="2702" xr:uid="{00000000-0005-0000-0000-00004F380000}"/>
    <cellStyle name="60% - Accent3 3 4 4 2" xfId="16518" xr:uid="{00000000-0005-0000-0000-000050380000}"/>
    <cellStyle name="60% - Accent3 3 4 4 3" xfId="16517" xr:uid="{00000000-0005-0000-0000-000051380000}"/>
    <cellStyle name="60% - Accent3 3 4 5" xfId="3075" xr:uid="{00000000-0005-0000-0000-000052380000}"/>
    <cellStyle name="60% - Accent3 3 4 5 2" xfId="16520" xr:uid="{00000000-0005-0000-0000-000053380000}"/>
    <cellStyle name="60% - Accent3 3 4 5 3" xfId="16519" xr:uid="{00000000-0005-0000-0000-000054380000}"/>
    <cellStyle name="60% - Accent3 3 4 6" xfId="3446" xr:uid="{00000000-0005-0000-0000-000055380000}"/>
    <cellStyle name="60% - Accent3 3 4 6 2" xfId="16522" xr:uid="{00000000-0005-0000-0000-000056380000}"/>
    <cellStyle name="60% - Accent3 3 4 6 3" xfId="16521" xr:uid="{00000000-0005-0000-0000-000057380000}"/>
    <cellStyle name="60% - Accent3 3 4 7" xfId="16523" xr:uid="{00000000-0005-0000-0000-000058380000}"/>
    <cellStyle name="60% - Accent3 3 4 8" xfId="16512" xr:uid="{00000000-0005-0000-0000-000059380000}"/>
    <cellStyle name="60% - Accent3 3 5" xfId="2061" xr:uid="{00000000-0005-0000-0000-00005A380000}"/>
    <cellStyle name="60% - Accent3 3 5 2" xfId="16525" xr:uid="{00000000-0005-0000-0000-00005B380000}"/>
    <cellStyle name="60% - Accent3 3 5 3" xfId="16524" xr:uid="{00000000-0005-0000-0000-00005C380000}"/>
    <cellStyle name="60% - Accent3 3 6" xfId="2435" xr:uid="{00000000-0005-0000-0000-00005D380000}"/>
    <cellStyle name="60% - Accent3 3 6 2" xfId="16527" xr:uid="{00000000-0005-0000-0000-00005E380000}"/>
    <cellStyle name="60% - Accent3 3 6 3" xfId="16526" xr:uid="{00000000-0005-0000-0000-00005F380000}"/>
    <cellStyle name="60% - Accent3 3 7" xfId="2807" xr:uid="{00000000-0005-0000-0000-000060380000}"/>
    <cellStyle name="60% - Accent3 3 7 2" xfId="16529" xr:uid="{00000000-0005-0000-0000-000061380000}"/>
    <cellStyle name="60% - Accent3 3 7 3" xfId="16528" xr:uid="{00000000-0005-0000-0000-000062380000}"/>
    <cellStyle name="60% - Accent3 3 8" xfId="3178" xr:uid="{00000000-0005-0000-0000-000063380000}"/>
    <cellStyle name="60% - Accent3 3 8 2" xfId="16531" xr:uid="{00000000-0005-0000-0000-000064380000}"/>
    <cellStyle name="60% - Accent3 3 8 3" xfId="16530" xr:uid="{00000000-0005-0000-0000-000065380000}"/>
    <cellStyle name="60% - Accent3 3 9" xfId="3553" xr:uid="{00000000-0005-0000-0000-000066380000}"/>
    <cellStyle name="60% - Accent3 3 9 2" xfId="16533" xr:uid="{00000000-0005-0000-0000-000067380000}"/>
    <cellStyle name="60% - Accent3 3 9 3" xfId="16532" xr:uid="{00000000-0005-0000-0000-000068380000}"/>
    <cellStyle name="60% - Accent3 4" xfId="249" xr:uid="{00000000-0005-0000-0000-000069380000}"/>
    <cellStyle name="60% - Accent3 4 10" xfId="3733" xr:uid="{00000000-0005-0000-0000-00006A380000}"/>
    <cellStyle name="60% - Accent3 4 10 2" xfId="16536" xr:uid="{00000000-0005-0000-0000-00006B380000}"/>
    <cellStyle name="60% - Accent3 4 10 3" xfId="16535" xr:uid="{00000000-0005-0000-0000-00006C380000}"/>
    <cellStyle name="60% - Accent3 4 11" xfId="1304" xr:uid="{00000000-0005-0000-0000-00006D380000}"/>
    <cellStyle name="60% - Accent3 4 11 2" xfId="16538" xr:uid="{00000000-0005-0000-0000-00006E380000}"/>
    <cellStyle name="60% - Accent3 4 11 3" xfId="16537" xr:uid="{00000000-0005-0000-0000-00006F380000}"/>
    <cellStyle name="60% - Accent3 4 12" xfId="16539" xr:uid="{00000000-0005-0000-0000-000070380000}"/>
    <cellStyle name="60% - Accent3 4 13" xfId="16534" xr:uid="{00000000-0005-0000-0000-000071380000}"/>
    <cellStyle name="60% - Accent3 4 2" xfId="1507" xr:uid="{00000000-0005-0000-0000-000072380000}"/>
    <cellStyle name="60% - Accent3 4 2 2" xfId="16541" xr:uid="{00000000-0005-0000-0000-000073380000}"/>
    <cellStyle name="60% - Accent3 4 2 3" xfId="16540" xr:uid="{00000000-0005-0000-0000-000074380000}"/>
    <cellStyle name="60% - Accent3 4 3" xfId="1632" xr:uid="{00000000-0005-0000-0000-000075380000}"/>
    <cellStyle name="60% - Accent3 4 3 2" xfId="16543" xr:uid="{00000000-0005-0000-0000-000076380000}"/>
    <cellStyle name="60% - Accent3 4 3 3" xfId="16542" xr:uid="{00000000-0005-0000-0000-000077380000}"/>
    <cellStyle name="60% - Accent3 4 4" xfId="1747" xr:uid="{00000000-0005-0000-0000-000078380000}"/>
    <cellStyle name="60% - Accent3 4 4 2" xfId="16545" xr:uid="{00000000-0005-0000-0000-000079380000}"/>
    <cellStyle name="60% - Accent3 4 4 3" xfId="16544" xr:uid="{00000000-0005-0000-0000-00007A380000}"/>
    <cellStyle name="60% - Accent3 4 5" xfId="2082" xr:uid="{00000000-0005-0000-0000-00007B380000}"/>
    <cellStyle name="60% - Accent3 4 5 2" xfId="16547" xr:uid="{00000000-0005-0000-0000-00007C380000}"/>
    <cellStyle name="60% - Accent3 4 5 3" xfId="16546" xr:uid="{00000000-0005-0000-0000-00007D380000}"/>
    <cellStyle name="60% - Accent3 4 6" xfId="2456" xr:uid="{00000000-0005-0000-0000-00007E380000}"/>
    <cellStyle name="60% - Accent3 4 6 2" xfId="16549" xr:uid="{00000000-0005-0000-0000-00007F380000}"/>
    <cellStyle name="60% - Accent3 4 6 3" xfId="16548" xr:uid="{00000000-0005-0000-0000-000080380000}"/>
    <cellStyle name="60% - Accent3 4 7" xfId="2828" xr:uid="{00000000-0005-0000-0000-000081380000}"/>
    <cellStyle name="60% - Accent3 4 7 2" xfId="16551" xr:uid="{00000000-0005-0000-0000-000082380000}"/>
    <cellStyle name="60% - Accent3 4 7 3" xfId="16550" xr:uid="{00000000-0005-0000-0000-000083380000}"/>
    <cellStyle name="60% - Accent3 4 8" xfId="3199" xr:uid="{00000000-0005-0000-0000-000084380000}"/>
    <cellStyle name="60% - Accent3 4 8 2" xfId="16553" xr:uid="{00000000-0005-0000-0000-000085380000}"/>
    <cellStyle name="60% - Accent3 4 8 3" xfId="16552" xr:uid="{00000000-0005-0000-0000-000086380000}"/>
    <cellStyle name="60% - Accent3 4 9" xfId="3596" xr:uid="{00000000-0005-0000-0000-000087380000}"/>
    <cellStyle name="60% - Accent3 4 9 2" xfId="16555" xr:uid="{00000000-0005-0000-0000-000088380000}"/>
    <cellStyle name="60% - Accent3 4 9 3" xfId="16554" xr:uid="{00000000-0005-0000-0000-000089380000}"/>
    <cellStyle name="60% - Accent3 5" xfId="415" xr:uid="{00000000-0005-0000-0000-00008A380000}"/>
    <cellStyle name="60% - Accent3 5 2" xfId="1771" xr:uid="{00000000-0005-0000-0000-00008B380000}"/>
    <cellStyle name="60% - Accent3 5 2 2" xfId="16558" xr:uid="{00000000-0005-0000-0000-00008C380000}"/>
    <cellStyle name="60% - Accent3 5 2 3" xfId="16557" xr:uid="{00000000-0005-0000-0000-00008D380000}"/>
    <cellStyle name="60% - Accent3 5 3" xfId="2106" xr:uid="{00000000-0005-0000-0000-00008E380000}"/>
    <cellStyle name="60% - Accent3 5 3 2" xfId="16560" xr:uid="{00000000-0005-0000-0000-00008F380000}"/>
    <cellStyle name="60% - Accent3 5 3 3" xfId="16559" xr:uid="{00000000-0005-0000-0000-000090380000}"/>
    <cellStyle name="60% - Accent3 5 4" xfId="2480" xr:uid="{00000000-0005-0000-0000-000091380000}"/>
    <cellStyle name="60% - Accent3 5 4 2" xfId="16562" xr:uid="{00000000-0005-0000-0000-000092380000}"/>
    <cellStyle name="60% - Accent3 5 4 3" xfId="16561" xr:uid="{00000000-0005-0000-0000-000093380000}"/>
    <cellStyle name="60% - Accent3 5 5" xfId="2852" xr:uid="{00000000-0005-0000-0000-000094380000}"/>
    <cellStyle name="60% - Accent3 5 5 2" xfId="16564" xr:uid="{00000000-0005-0000-0000-000095380000}"/>
    <cellStyle name="60% - Accent3 5 5 3" xfId="16563" xr:uid="{00000000-0005-0000-0000-000096380000}"/>
    <cellStyle name="60% - Accent3 5 6" xfId="3223" xr:uid="{00000000-0005-0000-0000-000097380000}"/>
    <cellStyle name="60% - Accent3 5 6 2" xfId="16566" xr:uid="{00000000-0005-0000-0000-000098380000}"/>
    <cellStyle name="60% - Accent3 5 6 3" xfId="16565" xr:uid="{00000000-0005-0000-0000-000099380000}"/>
    <cellStyle name="60% - Accent3 5 7" xfId="16567" xr:uid="{00000000-0005-0000-0000-00009A380000}"/>
    <cellStyle name="60% - Accent3 5 7 2" xfId="16568" xr:uid="{00000000-0005-0000-0000-00009B380000}"/>
    <cellStyle name="60% - Accent3 5 8" xfId="16569" xr:uid="{00000000-0005-0000-0000-00009C380000}"/>
    <cellStyle name="60% - Accent3 5 9" xfId="16556" xr:uid="{00000000-0005-0000-0000-00009D380000}"/>
    <cellStyle name="60% - Accent3 6" xfId="416" xr:uid="{00000000-0005-0000-0000-00009E380000}"/>
    <cellStyle name="60% - Accent3 6 10" xfId="16570" xr:uid="{00000000-0005-0000-0000-00009F380000}"/>
    <cellStyle name="60% - Accent3 6 2" xfId="1983" xr:uid="{00000000-0005-0000-0000-0000A0380000}"/>
    <cellStyle name="60% - Accent3 6 2 2" xfId="16572" xr:uid="{00000000-0005-0000-0000-0000A1380000}"/>
    <cellStyle name="60% - Accent3 6 2 3" xfId="16571" xr:uid="{00000000-0005-0000-0000-0000A2380000}"/>
    <cellStyle name="60% - Accent3 6 3" xfId="2358" xr:uid="{00000000-0005-0000-0000-0000A3380000}"/>
    <cellStyle name="60% - Accent3 6 3 2" xfId="16574" xr:uid="{00000000-0005-0000-0000-0000A4380000}"/>
    <cellStyle name="60% - Accent3 6 3 3" xfId="16573" xr:uid="{00000000-0005-0000-0000-0000A5380000}"/>
    <cellStyle name="60% - Accent3 6 4" xfId="2731" xr:uid="{00000000-0005-0000-0000-0000A6380000}"/>
    <cellStyle name="60% - Accent3 6 4 2" xfId="16576" xr:uid="{00000000-0005-0000-0000-0000A7380000}"/>
    <cellStyle name="60% - Accent3 6 4 3" xfId="16575" xr:uid="{00000000-0005-0000-0000-0000A8380000}"/>
    <cellStyle name="60% - Accent3 6 5" xfId="3104" xr:uid="{00000000-0005-0000-0000-0000A9380000}"/>
    <cellStyle name="60% - Accent3 6 5 2" xfId="16578" xr:uid="{00000000-0005-0000-0000-0000AA380000}"/>
    <cellStyle name="60% - Accent3 6 5 3" xfId="16577" xr:uid="{00000000-0005-0000-0000-0000AB380000}"/>
    <cellStyle name="60% - Accent3 6 6" xfId="3475" xr:uid="{00000000-0005-0000-0000-0000AC380000}"/>
    <cellStyle name="60% - Accent3 6 6 2" xfId="16580" xr:uid="{00000000-0005-0000-0000-0000AD380000}"/>
    <cellStyle name="60% - Accent3 6 6 3" xfId="16579" xr:uid="{00000000-0005-0000-0000-0000AE380000}"/>
    <cellStyle name="60% - Accent3 6 7" xfId="3781" xr:uid="{00000000-0005-0000-0000-0000AF380000}"/>
    <cellStyle name="60% - Accent3 6 7 2" xfId="16582" xr:uid="{00000000-0005-0000-0000-0000B0380000}"/>
    <cellStyle name="60% - Accent3 6 7 3" xfId="16581" xr:uid="{00000000-0005-0000-0000-0000B1380000}"/>
    <cellStyle name="60% - Accent3 6 8" xfId="16583" xr:uid="{00000000-0005-0000-0000-0000B2380000}"/>
    <cellStyle name="60% - Accent3 6 8 2" xfId="16584" xr:uid="{00000000-0005-0000-0000-0000B3380000}"/>
    <cellStyle name="60% - Accent3 6 9" xfId="16585" xr:uid="{00000000-0005-0000-0000-0000B4380000}"/>
    <cellStyle name="60% - Accent3 7" xfId="417" xr:uid="{00000000-0005-0000-0000-0000B5380000}"/>
    <cellStyle name="60% - Accent3 7 2" xfId="16587" xr:uid="{00000000-0005-0000-0000-0000B6380000}"/>
    <cellStyle name="60% - Accent3 7 3" xfId="16586" xr:uid="{00000000-0005-0000-0000-0000B7380000}"/>
    <cellStyle name="60% - Accent3 8" xfId="562" xr:uid="{00000000-0005-0000-0000-0000B8380000}"/>
    <cellStyle name="60% - Accent3 8 2" xfId="16589" xr:uid="{00000000-0005-0000-0000-0000B9380000}"/>
    <cellStyle name="60% - Accent3 8 3" xfId="16588" xr:uid="{00000000-0005-0000-0000-0000BA380000}"/>
    <cellStyle name="60% - Accent3 9" xfId="563" xr:uid="{00000000-0005-0000-0000-0000BB380000}"/>
    <cellStyle name="60% - Accent3 9 2" xfId="16591" xr:uid="{00000000-0005-0000-0000-0000BC380000}"/>
    <cellStyle name="60% - Accent3 9 3" xfId="16590" xr:uid="{00000000-0005-0000-0000-0000BD380000}"/>
    <cellStyle name="60% - Accent4 10" xfId="700" xr:uid="{00000000-0005-0000-0000-0000BE380000}"/>
    <cellStyle name="60% - Accent4 10 2" xfId="16594" xr:uid="{00000000-0005-0000-0000-0000BF380000}"/>
    <cellStyle name="60% - Accent4 10 3" xfId="16593" xr:uid="{00000000-0005-0000-0000-0000C0380000}"/>
    <cellStyle name="60% - Accent4 11" xfId="701" xr:uid="{00000000-0005-0000-0000-0000C1380000}"/>
    <cellStyle name="60% - Accent4 11 2" xfId="16596" xr:uid="{00000000-0005-0000-0000-0000C2380000}"/>
    <cellStyle name="60% - Accent4 11 3" xfId="16595" xr:uid="{00000000-0005-0000-0000-0000C3380000}"/>
    <cellStyle name="60% - Accent4 12" xfId="843" xr:uid="{00000000-0005-0000-0000-0000C4380000}"/>
    <cellStyle name="60% - Accent4 12 2" xfId="16597" xr:uid="{00000000-0005-0000-0000-0000C5380000}"/>
    <cellStyle name="60% - Accent4 13" xfId="844" xr:uid="{00000000-0005-0000-0000-0000C6380000}"/>
    <cellStyle name="60% - Accent4 13 2" xfId="16592" xr:uid="{00000000-0005-0000-0000-0000C7380000}"/>
    <cellStyle name="60% - Accent4 14" xfId="951" xr:uid="{00000000-0005-0000-0000-0000C8380000}"/>
    <cellStyle name="60% - Accent4 2" xfId="83" xr:uid="{00000000-0005-0000-0000-0000C9380000}"/>
    <cellStyle name="60% - Accent4 2 10" xfId="1682" xr:uid="{00000000-0005-0000-0000-0000CA380000}"/>
    <cellStyle name="60% - Accent4 2 10 2" xfId="16600" xr:uid="{00000000-0005-0000-0000-0000CB380000}"/>
    <cellStyle name="60% - Accent4 2 10 3" xfId="16599" xr:uid="{00000000-0005-0000-0000-0000CC380000}"/>
    <cellStyle name="60% - Accent4 2 11" xfId="2017" xr:uid="{00000000-0005-0000-0000-0000CD380000}"/>
    <cellStyle name="60% - Accent4 2 11 2" xfId="16602" xr:uid="{00000000-0005-0000-0000-0000CE380000}"/>
    <cellStyle name="60% - Accent4 2 11 3" xfId="16601" xr:uid="{00000000-0005-0000-0000-0000CF380000}"/>
    <cellStyle name="60% - Accent4 2 12" xfId="2391" xr:uid="{00000000-0005-0000-0000-0000D0380000}"/>
    <cellStyle name="60% - Accent4 2 12 2" xfId="16604" xr:uid="{00000000-0005-0000-0000-0000D1380000}"/>
    <cellStyle name="60% - Accent4 2 12 3" xfId="16603" xr:uid="{00000000-0005-0000-0000-0000D2380000}"/>
    <cellStyle name="60% - Accent4 2 13" xfId="2764" xr:uid="{00000000-0005-0000-0000-0000D3380000}"/>
    <cellStyle name="60% - Accent4 2 13 2" xfId="16606" xr:uid="{00000000-0005-0000-0000-0000D4380000}"/>
    <cellStyle name="60% - Accent4 2 13 3" xfId="16605" xr:uid="{00000000-0005-0000-0000-0000D5380000}"/>
    <cellStyle name="60% - Accent4 2 14" xfId="3138" xr:uid="{00000000-0005-0000-0000-0000D6380000}"/>
    <cellStyle name="60% - Accent4 2 14 2" xfId="16608" xr:uid="{00000000-0005-0000-0000-0000D7380000}"/>
    <cellStyle name="60% - Accent4 2 14 3" xfId="16607" xr:uid="{00000000-0005-0000-0000-0000D8380000}"/>
    <cellStyle name="60% - Accent4 2 15" xfId="3509" xr:uid="{00000000-0005-0000-0000-0000D9380000}"/>
    <cellStyle name="60% - Accent4 2 15 2" xfId="16610" xr:uid="{00000000-0005-0000-0000-0000DA380000}"/>
    <cellStyle name="60% - Accent4 2 15 3" xfId="16609" xr:uid="{00000000-0005-0000-0000-0000DB380000}"/>
    <cellStyle name="60% - Accent4 2 16" xfId="3647" xr:uid="{00000000-0005-0000-0000-0000DC380000}"/>
    <cellStyle name="60% - Accent4 2 16 2" xfId="16612" xr:uid="{00000000-0005-0000-0000-0000DD380000}"/>
    <cellStyle name="60% - Accent4 2 16 3" xfId="16611" xr:uid="{00000000-0005-0000-0000-0000DE380000}"/>
    <cellStyle name="60% - Accent4 2 17" xfId="16613" xr:uid="{00000000-0005-0000-0000-0000DF380000}"/>
    <cellStyle name="60% - Accent4 2 17 2" xfId="16614" xr:uid="{00000000-0005-0000-0000-0000E0380000}"/>
    <cellStyle name="60% - Accent4 2 18" xfId="16615" xr:uid="{00000000-0005-0000-0000-0000E1380000}"/>
    <cellStyle name="60% - Accent4 2 19" xfId="16598" xr:uid="{00000000-0005-0000-0000-0000E2380000}"/>
    <cellStyle name="60% - Accent4 2 2" xfId="127" xr:uid="{00000000-0005-0000-0000-0000E3380000}"/>
    <cellStyle name="60% - Accent4 2 2 2" xfId="185" xr:uid="{00000000-0005-0000-0000-0000E4380000}"/>
    <cellStyle name="60% - Accent4 2 2 2 2" xfId="16618" xr:uid="{00000000-0005-0000-0000-0000E5380000}"/>
    <cellStyle name="60% - Accent4 2 2 2 3" xfId="16617" xr:uid="{00000000-0005-0000-0000-0000E6380000}"/>
    <cellStyle name="60% - Accent4 2 2 3" xfId="349" xr:uid="{00000000-0005-0000-0000-0000E7380000}"/>
    <cellStyle name="60% - Accent4 2 2 3 2" xfId="16620" xr:uid="{00000000-0005-0000-0000-0000E8380000}"/>
    <cellStyle name="60% - Accent4 2 2 3 3" xfId="16619" xr:uid="{00000000-0005-0000-0000-0000E9380000}"/>
    <cellStyle name="60% - Accent4 2 2 4" xfId="2171" xr:uid="{00000000-0005-0000-0000-0000EA380000}"/>
    <cellStyle name="60% - Accent4 2 2 4 2" xfId="16622" xr:uid="{00000000-0005-0000-0000-0000EB380000}"/>
    <cellStyle name="60% - Accent4 2 2 4 3" xfId="16621" xr:uid="{00000000-0005-0000-0000-0000EC380000}"/>
    <cellStyle name="60% - Accent4 2 2 5" xfId="2545" xr:uid="{00000000-0005-0000-0000-0000ED380000}"/>
    <cellStyle name="60% - Accent4 2 2 5 2" xfId="16624" xr:uid="{00000000-0005-0000-0000-0000EE380000}"/>
    <cellStyle name="60% - Accent4 2 2 5 3" xfId="16623" xr:uid="{00000000-0005-0000-0000-0000EF380000}"/>
    <cellStyle name="60% - Accent4 2 2 6" xfId="2917" xr:uid="{00000000-0005-0000-0000-0000F0380000}"/>
    <cellStyle name="60% - Accent4 2 2 6 2" xfId="16626" xr:uid="{00000000-0005-0000-0000-0000F1380000}"/>
    <cellStyle name="60% - Accent4 2 2 6 3" xfId="16625" xr:uid="{00000000-0005-0000-0000-0000F2380000}"/>
    <cellStyle name="60% - Accent4 2 2 7" xfId="3289" xr:uid="{00000000-0005-0000-0000-0000F3380000}"/>
    <cellStyle name="60% - Accent4 2 2 7 2" xfId="16628" xr:uid="{00000000-0005-0000-0000-0000F4380000}"/>
    <cellStyle name="60% - Accent4 2 2 7 3" xfId="16627" xr:uid="{00000000-0005-0000-0000-0000F5380000}"/>
    <cellStyle name="60% - Accent4 2 2 8" xfId="16629" xr:uid="{00000000-0005-0000-0000-0000F6380000}"/>
    <cellStyle name="60% - Accent4 2 2 9" xfId="16616" xr:uid="{00000000-0005-0000-0000-0000F7380000}"/>
    <cellStyle name="60% - Accent4 2 20" xfId="24481" xr:uid="{00000000-0005-0000-0000-0000F8380000}"/>
    <cellStyle name="60% - Accent4 2 3" xfId="292" xr:uid="{00000000-0005-0000-0000-0000F9380000}"/>
    <cellStyle name="60% - Accent4 2 3 2" xfId="1347" xr:uid="{00000000-0005-0000-0000-0000FA380000}"/>
    <cellStyle name="60% - Accent4 2 3 2 2" xfId="16631" xr:uid="{00000000-0005-0000-0000-0000FB380000}"/>
    <cellStyle name="60% - Accent4 2 3 3" xfId="16630" xr:uid="{00000000-0005-0000-0000-0000FC380000}"/>
    <cellStyle name="60% - Accent4 2 4" xfId="418" xr:uid="{00000000-0005-0000-0000-0000FD380000}"/>
    <cellStyle name="60% - Accent4 2 4 2" xfId="16633" xr:uid="{00000000-0005-0000-0000-0000FE380000}"/>
    <cellStyle name="60% - Accent4 2 4 3" xfId="16632" xr:uid="{00000000-0005-0000-0000-0000FF380000}"/>
    <cellStyle name="60% - Accent4 2 5" xfId="564" xr:uid="{00000000-0005-0000-0000-000000390000}"/>
    <cellStyle name="60% - Accent4 2 5 2" xfId="16635" xr:uid="{00000000-0005-0000-0000-000001390000}"/>
    <cellStyle name="60% - Accent4 2 5 3" xfId="16634" xr:uid="{00000000-0005-0000-0000-000002390000}"/>
    <cellStyle name="60% - Accent4 2 6" xfId="702" xr:uid="{00000000-0005-0000-0000-000003390000}"/>
    <cellStyle name="60% - Accent4 2 6 2" xfId="16637" xr:uid="{00000000-0005-0000-0000-000004390000}"/>
    <cellStyle name="60% - Accent4 2 6 3" xfId="16636" xr:uid="{00000000-0005-0000-0000-000005390000}"/>
    <cellStyle name="60% - Accent4 2 7" xfId="703" xr:uid="{00000000-0005-0000-0000-000006390000}"/>
    <cellStyle name="60% - Accent4 2 7 2" xfId="16639" xr:uid="{00000000-0005-0000-0000-000007390000}"/>
    <cellStyle name="60% - Accent4 2 7 3" xfId="16638" xr:uid="{00000000-0005-0000-0000-000008390000}"/>
    <cellStyle name="60% - Accent4 2 8" xfId="845" xr:uid="{00000000-0005-0000-0000-000009390000}"/>
    <cellStyle name="60% - Accent4 2 8 2" xfId="1411" xr:uid="{00000000-0005-0000-0000-00000A390000}"/>
    <cellStyle name="60% - Accent4 2 8 2 2" xfId="16641" xr:uid="{00000000-0005-0000-0000-00000B390000}"/>
    <cellStyle name="60% - Accent4 2 8 3" xfId="16640" xr:uid="{00000000-0005-0000-0000-00000C390000}"/>
    <cellStyle name="60% - Accent4 2 9" xfId="952" xr:uid="{00000000-0005-0000-0000-00000D390000}"/>
    <cellStyle name="60% - Accent4 2 9 2" xfId="1565" xr:uid="{00000000-0005-0000-0000-00000E390000}"/>
    <cellStyle name="60% - Accent4 2 9 2 2" xfId="16643" xr:uid="{00000000-0005-0000-0000-00000F390000}"/>
    <cellStyle name="60% - Accent4 2 9 3" xfId="16642" xr:uid="{00000000-0005-0000-0000-000010390000}"/>
    <cellStyle name="60% - Accent4 3" xfId="226" xr:uid="{00000000-0005-0000-0000-000011390000}"/>
    <cellStyle name="60% - Accent4 3 10" xfId="3690" xr:uid="{00000000-0005-0000-0000-000012390000}"/>
    <cellStyle name="60% - Accent4 3 10 2" xfId="16646" xr:uid="{00000000-0005-0000-0000-000013390000}"/>
    <cellStyle name="60% - Accent4 3 10 3" xfId="16645" xr:uid="{00000000-0005-0000-0000-000014390000}"/>
    <cellStyle name="60% - Accent4 3 11" xfId="16647" xr:uid="{00000000-0005-0000-0000-000015390000}"/>
    <cellStyle name="60% - Accent4 3 11 2" xfId="16648" xr:uid="{00000000-0005-0000-0000-000016390000}"/>
    <cellStyle name="60% - Accent4 3 12" xfId="16649" xr:uid="{00000000-0005-0000-0000-000017390000}"/>
    <cellStyle name="60% - Accent4 3 13" xfId="16644" xr:uid="{00000000-0005-0000-0000-000018390000}"/>
    <cellStyle name="60% - Accent4 3 2" xfId="1463" xr:uid="{00000000-0005-0000-0000-000019390000}"/>
    <cellStyle name="60% - Accent4 3 2 2" xfId="1837" xr:uid="{00000000-0005-0000-0000-00001A390000}"/>
    <cellStyle name="60% - Accent4 3 2 2 2" xfId="16652" xr:uid="{00000000-0005-0000-0000-00001B390000}"/>
    <cellStyle name="60% - Accent4 3 2 2 3" xfId="16651" xr:uid="{00000000-0005-0000-0000-00001C390000}"/>
    <cellStyle name="60% - Accent4 3 2 3" xfId="2212" xr:uid="{00000000-0005-0000-0000-00001D390000}"/>
    <cellStyle name="60% - Accent4 3 2 3 2" xfId="16654" xr:uid="{00000000-0005-0000-0000-00001E390000}"/>
    <cellStyle name="60% - Accent4 3 2 3 3" xfId="16653" xr:uid="{00000000-0005-0000-0000-00001F390000}"/>
    <cellStyle name="60% - Accent4 3 2 4" xfId="2586" xr:uid="{00000000-0005-0000-0000-000020390000}"/>
    <cellStyle name="60% - Accent4 3 2 4 2" xfId="16656" xr:uid="{00000000-0005-0000-0000-000021390000}"/>
    <cellStyle name="60% - Accent4 3 2 4 3" xfId="16655" xr:uid="{00000000-0005-0000-0000-000022390000}"/>
    <cellStyle name="60% - Accent4 3 2 5" xfId="2958" xr:uid="{00000000-0005-0000-0000-000023390000}"/>
    <cellStyle name="60% - Accent4 3 2 5 2" xfId="16658" xr:uid="{00000000-0005-0000-0000-000024390000}"/>
    <cellStyle name="60% - Accent4 3 2 5 3" xfId="16657" xr:uid="{00000000-0005-0000-0000-000025390000}"/>
    <cellStyle name="60% - Accent4 3 2 6" xfId="3330" xr:uid="{00000000-0005-0000-0000-000026390000}"/>
    <cellStyle name="60% - Accent4 3 2 6 2" xfId="16660" xr:uid="{00000000-0005-0000-0000-000027390000}"/>
    <cellStyle name="60% - Accent4 3 2 6 3" xfId="16659" xr:uid="{00000000-0005-0000-0000-000028390000}"/>
    <cellStyle name="60% - Accent4 3 2 7" xfId="16661" xr:uid="{00000000-0005-0000-0000-000029390000}"/>
    <cellStyle name="60% - Accent4 3 2 8" xfId="16650" xr:uid="{00000000-0005-0000-0000-00002A390000}"/>
    <cellStyle name="60% - Accent4 3 3" xfId="1590" xr:uid="{00000000-0005-0000-0000-00002B390000}"/>
    <cellStyle name="60% - Accent4 3 3 2" xfId="1914" xr:uid="{00000000-0005-0000-0000-00002C390000}"/>
    <cellStyle name="60% - Accent4 3 3 2 2" xfId="16664" xr:uid="{00000000-0005-0000-0000-00002D390000}"/>
    <cellStyle name="60% - Accent4 3 3 2 3" xfId="16663" xr:uid="{00000000-0005-0000-0000-00002E390000}"/>
    <cellStyle name="60% - Accent4 3 3 3" xfId="2289" xr:uid="{00000000-0005-0000-0000-00002F390000}"/>
    <cellStyle name="60% - Accent4 3 3 3 2" xfId="16666" xr:uid="{00000000-0005-0000-0000-000030390000}"/>
    <cellStyle name="60% - Accent4 3 3 3 3" xfId="16665" xr:uid="{00000000-0005-0000-0000-000031390000}"/>
    <cellStyle name="60% - Accent4 3 3 4" xfId="2662" xr:uid="{00000000-0005-0000-0000-000032390000}"/>
    <cellStyle name="60% - Accent4 3 3 4 2" xfId="16668" xr:uid="{00000000-0005-0000-0000-000033390000}"/>
    <cellStyle name="60% - Accent4 3 3 4 3" xfId="16667" xr:uid="{00000000-0005-0000-0000-000034390000}"/>
    <cellStyle name="60% - Accent4 3 3 5" xfId="3035" xr:uid="{00000000-0005-0000-0000-000035390000}"/>
    <cellStyle name="60% - Accent4 3 3 5 2" xfId="16670" xr:uid="{00000000-0005-0000-0000-000036390000}"/>
    <cellStyle name="60% - Accent4 3 3 5 3" xfId="16669" xr:uid="{00000000-0005-0000-0000-000037390000}"/>
    <cellStyle name="60% - Accent4 3 3 6" xfId="3406" xr:uid="{00000000-0005-0000-0000-000038390000}"/>
    <cellStyle name="60% - Accent4 3 3 6 2" xfId="16672" xr:uid="{00000000-0005-0000-0000-000039390000}"/>
    <cellStyle name="60% - Accent4 3 3 6 3" xfId="16671" xr:uid="{00000000-0005-0000-0000-00003A390000}"/>
    <cellStyle name="60% - Accent4 3 3 7" xfId="16673" xr:uid="{00000000-0005-0000-0000-00003B390000}"/>
    <cellStyle name="60% - Accent4 3 3 8" xfId="16662" xr:uid="{00000000-0005-0000-0000-00003C390000}"/>
    <cellStyle name="60% - Accent4 3 4" xfId="1727" xr:uid="{00000000-0005-0000-0000-00003D390000}"/>
    <cellStyle name="60% - Accent4 3 4 2" xfId="1958" xr:uid="{00000000-0005-0000-0000-00003E390000}"/>
    <cellStyle name="60% - Accent4 3 4 2 2" xfId="16676" xr:uid="{00000000-0005-0000-0000-00003F390000}"/>
    <cellStyle name="60% - Accent4 3 4 2 3" xfId="16675" xr:uid="{00000000-0005-0000-0000-000040390000}"/>
    <cellStyle name="60% - Accent4 3 4 3" xfId="2333" xr:uid="{00000000-0005-0000-0000-000041390000}"/>
    <cellStyle name="60% - Accent4 3 4 3 2" xfId="16678" xr:uid="{00000000-0005-0000-0000-000042390000}"/>
    <cellStyle name="60% - Accent4 3 4 3 3" xfId="16677" xr:uid="{00000000-0005-0000-0000-000043390000}"/>
    <cellStyle name="60% - Accent4 3 4 4" xfId="2706" xr:uid="{00000000-0005-0000-0000-000044390000}"/>
    <cellStyle name="60% - Accent4 3 4 4 2" xfId="16680" xr:uid="{00000000-0005-0000-0000-000045390000}"/>
    <cellStyle name="60% - Accent4 3 4 4 3" xfId="16679" xr:uid="{00000000-0005-0000-0000-000046390000}"/>
    <cellStyle name="60% - Accent4 3 4 5" xfId="3079" xr:uid="{00000000-0005-0000-0000-000047390000}"/>
    <cellStyle name="60% - Accent4 3 4 5 2" xfId="16682" xr:uid="{00000000-0005-0000-0000-000048390000}"/>
    <cellStyle name="60% - Accent4 3 4 5 3" xfId="16681" xr:uid="{00000000-0005-0000-0000-000049390000}"/>
    <cellStyle name="60% - Accent4 3 4 6" xfId="3450" xr:uid="{00000000-0005-0000-0000-00004A390000}"/>
    <cellStyle name="60% - Accent4 3 4 6 2" xfId="16684" xr:uid="{00000000-0005-0000-0000-00004B390000}"/>
    <cellStyle name="60% - Accent4 3 4 6 3" xfId="16683" xr:uid="{00000000-0005-0000-0000-00004C390000}"/>
    <cellStyle name="60% - Accent4 3 4 7" xfId="16685" xr:uid="{00000000-0005-0000-0000-00004D390000}"/>
    <cellStyle name="60% - Accent4 3 4 8" xfId="16674" xr:uid="{00000000-0005-0000-0000-00004E390000}"/>
    <cellStyle name="60% - Accent4 3 5" xfId="2062" xr:uid="{00000000-0005-0000-0000-00004F390000}"/>
    <cellStyle name="60% - Accent4 3 5 2" xfId="16687" xr:uid="{00000000-0005-0000-0000-000050390000}"/>
    <cellStyle name="60% - Accent4 3 5 3" xfId="16686" xr:uid="{00000000-0005-0000-0000-000051390000}"/>
    <cellStyle name="60% - Accent4 3 6" xfId="2436" xr:uid="{00000000-0005-0000-0000-000052390000}"/>
    <cellStyle name="60% - Accent4 3 6 2" xfId="16689" xr:uid="{00000000-0005-0000-0000-000053390000}"/>
    <cellStyle name="60% - Accent4 3 6 3" xfId="16688" xr:uid="{00000000-0005-0000-0000-000054390000}"/>
    <cellStyle name="60% - Accent4 3 7" xfId="2808" xr:uid="{00000000-0005-0000-0000-000055390000}"/>
    <cellStyle name="60% - Accent4 3 7 2" xfId="16691" xr:uid="{00000000-0005-0000-0000-000056390000}"/>
    <cellStyle name="60% - Accent4 3 7 3" xfId="16690" xr:uid="{00000000-0005-0000-0000-000057390000}"/>
    <cellStyle name="60% - Accent4 3 8" xfId="3179" xr:uid="{00000000-0005-0000-0000-000058390000}"/>
    <cellStyle name="60% - Accent4 3 8 2" xfId="16693" xr:uid="{00000000-0005-0000-0000-000059390000}"/>
    <cellStyle name="60% - Accent4 3 8 3" xfId="16692" xr:uid="{00000000-0005-0000-0000-00005A390000}"/>
    <cellStyle name="60% - Accent4 3 9" xfId="3554" xr:uid="{00000000-0005-0000-0000-00005B390000}"/>
    <cellStyle name="60% - Accent4 3 9 2" xfId="16695" xr:uid="{00000000-0005-0000-0000-00005C390000}"/>
    <cellStyle name="60% - Accent4 3 9 3" xfId="16694" xr:uid="{00000000-0005-0000-0000-00005D390000}"/>
    <cellStyle name="60% - Accent4 4" xfId="250" xr:uid="{00000000-0005-0000-0000-00005E390000}"/>
    <cellStyle name="60% - Accent4 4 10" xfId="3734" xr:uid="{00000000-0005-0000-0000-00005F390000}"/>
    <cellStyle name="60% - Accent4 4 10 2" xfId="16698" xr:uid="{00000000-0005-0000-0000-000060390000}"/>
    <cellStyle name="60% - Accent4 4 10 3" xfId="16697" xr:uid="{00000000-0005-0000-0000-000061390000}"/>
    <cellStyle name="60% - Accent4 4 11" xfId="1308" xr:uid="{00000000-0005-0000-0000-000062390000}"/>
    <cellStyle name="60% - Accent4 4 11 2" xfId="16700" xr:uid="{00000000-0005-0000-0000-000063390000}"/>
    <cellStyle name="60% - Accent4 4 11 3" xfId="16699" xr:uid="{00000000-0005-0000-0000-000064390000}"/>
    <cellStyle name="60% - Accent4 4 12" xfId="16701" xr:uid="{00000000-0005-0000-0000-000065390000}"/>
    <cellStyle name="60% - Accent4 4 13" xfId="16696" xr:uid="{00000000-0005-0000-0000-000066390000}"/>
    <cellStyle name="60% - Accent4 4 2" xfId="1508" xr:uid="{00000000-0005-0000-0000-000067390000}"/>
    <cellStyle name="60% - Accent4 4 2 2" xfId="16703" xr:uid="{00000000-0005-0000-0000-000068390000}"/>
    <cellStyle name="60% - Accent4 4 2 3" xfId="16702" xr:uid="{00000000-0005-0000-0000-000069390000}"/>
    <cellStyle name="60% - Accent4 4 3" xfId="1633" xr:uid="{00000000-0005-0000-0000-00006A390000}"/>
    <cellStyle name="60% - Accent4 4 3 2" xfId="16705" xr:uid="{00000000-0005-0000-0000-00006B390000}"/>
    <cellStyle name="60% - Accent4 4 3 3" xfId="16704" xr:uid="{00000000-0005-0000-0000-00006C390000}"/>
    <cellStyle name="60% - Accent4 4 4" xfId="1792" xr:uid="{00000000-0005-0000-0000-00006D390000}"/>
    <cellStyle name="60% - Accent4 4 4 2" xfId="16707" xr:uid="{00000000-0005-0000-0000-00006E390000}"/>
    <cellStyle name="60% - Accent4 4 4 3" xfId="16706" xr:uid="{00000000-0005-0000-0000-00006F390000}"/>
    <cellStyle name="60% - Accent4 4 5" xfId="2128" xr:uid="{00000000-0005-0000-0000-000070390000}"/>
    <cellStyle name="60% - Accent4 4 5 2" xfId="16709" xr:uid="{00000000-0005-0000-0000-000071390000}"/>
    <cellStyle name="60% - Accent4 4 5 3" xfId="16708" xr:uid="{00000000-0005-0000-0000-000072390000}"/>
    <cellStyle name="60% - Accent4 4 6" xfId="2502" xr:uid="{00000000-0005-0000-0000-000073390000}"/>
    <cellStyle name="60% - Accent4 4 6 2" xfId="16711" xr:uid="{00000000-0005-0000-0000-000074390000}"/>
    <cellStyle name="60% - Accent4 4 6 3" xfId="16710" xr:uid="{00000000-0005-0000-0000-000075390000}"/>
    <cellStyle name="60% - Accent4 4 7" xfId="2874" xr:uid="{00000000-0005-0000-0000-000076390000}"/>
    <cellStyle name="60% - Accent4 4 7 2" xfId="16713" xr:uid="{00000000-0005-0000-0000-000077390000}"/>
    <cellStyle name="60% - Accent4 4 7 3" xfId="16712" xr:uid="{00000000-0005-0000-0000-000078390000}"/>
    <cellStyle name="60% - Accent4 4 8" xfId="3245" xr:uid="{00000000-0005-0000-0000-000079390000}"/>
    <cellStyle name="60% - Accent4 4 8 2" xfId="16715" xr:uid="{00000000-0005-0000-0000-00007A390000}"/>
    <cellStyle name="60% - Accent4 4 8 3" xfId="16714" xr:uid="{00000000-0005-0000-0000-00007B390000}"/>
    <cellStyle name="60% - Accent4 4 9" xfId="3597" xr:uid="{00000000-0005-0000-0000-00007C390000}"/>
    <cellStyle name="60% - Accent4 4 9 2" xfId="16717" xr:uid="{00000000-0005-0000-0000-00007D390000}"/>
    <cellStyle name="60% - Accent4 4 9 3" xfId="16716" xr:uid="{00000000-0005-0000-0000-00007E390000}"/>
    <cellStyle name="60% - Accent4 5" xfId="419" xr:uid="{00000000-0005-0000-0000-00007F390000}"/>
    <cellStyle name="60% - Accent4 5 2" xfId="1873" xr:uid="{00000000-0005-0000-0000-000080390000}"/>
    <cellStyle name="60% - Accent4 5 2 2" xfId="16720" xr:uid="{00000000-0005-0000-0000-000081390000}"/>
    <cellStyle name="60% - Accent4 5 2 3" xfId="16719" xr:uid="{00000000-0005-0000-0000-000082390000}"/>
    <cellStyle name="60% - Accent4 5 3" xfId="2248" xr:uid="{00000000-0005-0000-0000-000083390000}"/>
    <cellStyle name="60% - Accent4 5 3 2" xfId="16722" xr:uid="{00000000-0005-0000-0000-000084390000}"/>
    <cellStyle name="60% - Accent4 5 3 3" xfId="16721" xr:uid="{00000000-0005-0000-0000-000085390000}"/>
    <cellStyle name="60% - Accent4 5 4" xfId="2622" xr:uid="{00000000-0005-0000-0000-000086390000}"/>
    <cellStyle name="60% - Accent4 5 4 2" xfId="16724" xr:uid="{00000000-0005-0000-0000-000087390000}"/>
    <cellStyle name="60% - Accent4 5 4 3" xfId="16723" xr:uid="{00000000-0005-0000-0000-000088390000}"/>
    <cellStyle name="60% - Accent4 5 5" xfId="2994" xr:uid="{00000000-0005-0000-0000-000089390000}"/>
    <cellStyle name="60% - Accent4 5 5 2" xfId="16726" xr:uid="{00000000-0005-0000-0000-00008A390000}"/>
    <cellStyle name="60% - Accent4 5 5 3" xfId="16725" xr:uid="{00000000-0005-0000-0000-00008B390000}"/>
    <cellStyle name="60% - Accent4 5 6" xfId="3366" xr:uid="{00000000-0005-0000-0000-00008C390000}"/>
    <cellStyle name="60% - Accent4 5 6 2" xfId="16728" xr:uid="{00000000-0005-0000-0000-00008D390000}"/>
    <cellStyle name="60% - Accent4 5 6 3" xfId="16727" xr:uid="{00000000-0005-0000-0000-00008E390000}"/>
    <cellStyle name="60% - Accent4 5 7" xfId="16729" xr:uid="{00000000-0005-0000-0000-00008F390000}"/>
    <cellStyle name="60% - Accent4 5 7 2" xfId="16730" xr:uid="{00000000-0005-0000-0000-000090390000}"/>
    <cellStyle name="60% - Accent4 5 8" xfId="16731" xr:uid="{00000000-0005-0000-0000-000091390000}"/>
    <cellStyle name="60% - Accent4 5 9" xfId="16718" xr:uid="{00000000-0005-0000-0000-000092390000}"/>
    <cellStyle name="60% - Accent4 6" xfId="420" xr:uid="{00000000-0005-0000-0000-000093390000}"/>
    <cellStyle name="60% - Accent4 6 10" xfId="16732" xr:uid="{00000000-0005-0000-0000-000094390000}"/>
    <cellStyle name="60% - Accent4 6 2" xfId="1984" xr:uid="{00000000-0005-0000-0000-000095390000}"/>
    <cellStyle name="60% - Accent4 6 2 2" xfId="16734" xr:uid="{00000000-0005-0000-0000-000096390000}"/>
    <cellStyle name="60% - Accent4 6 2 3" xfId="16733" xr:uid="{00000000-0005-0000-0000-000097390000}"/>
    <cellStyle name="60% - Accent4 6 3" xfId="2359" xr:uid="{00000000-0005-0000-0000-000098390000}"/>
    <cellStyle name="60% - Accent4 6 3 2" xfId="16736" xr:uid="{00000000-0005-0000-0000-000099390000}"/>
    <cellStyle name="60% - Accent4 6 3 3" xfId="16735" xr:uid="{00000000-0005-0000-0000-00009A390000}"/>
    <cellStyle name="60% - Accent4 6 4" xfId="2732" xr:uid="{00000000-0005-0000-0000-00009B390000}"/>
    <cellStyle name="60% - Accent4 6 4 2" xfId="16738" xr:uid="{00000000-0005-0000-0000-00009C390000}"/>
    <cellStyle name="60% - Accent4 6 4 3" xfId="16737" xr:uid="{00000000-0005-0000-0000-00009D390000}"/>
    <cellStyle name="60% - Accent4 6 5" xfId="3105" xr:uid="{00000000-0005-0000-0000-00009E390000}"/>
    <cellStyle name="60% - Accent4 6 5 2" xfId="16740" xr:uid="{00000000-0005-0000-0000-00009F390000}"/>
    <cellStyle name="60% - Accent4 6 5 3" xfId="16739" xr:uid="{00000000-0005-0000-0000-0000A0390000}"/>
    <cellStyle name="60% - Accent4 6 6" xfId="3476" xr:uid="{00000000-0005-0000-0000-0000A1390000}"/>
    <cellStyle name="60% - Accent4 6 6 2" xfId="16742" xr:uid="{00000000-0005-0000-0000-0000A2390000}"/>
    <cellStyle name="60% - Accent4 6 6 3" xfId="16741" xr:uid="{00000000-0005-0000-0000-0000A3390000}"/>
    <cellStyle name="60% - Accent4 6 7" xfId="3782" xr:uid="{00000000-0005-0000-0000-0000A4390000}"/>
    <cellStyle name="60% - Accent4 6 7 2" xfId="16744" xr:uid="{00000000-0005-0000-0000-0000A5390000}"/>
    <cellStyle name="60% - Accent4 6 7 3" xfId="16743" xr:uid="{00000000-0005-0000-0000-0000A6390000}"/>
    <cellStyle name="60% - Accent4 6 8" xfId="16745" xr:uid="{00000000-0005-0000-0000-0000A7390000}"/>
    <cellStyle name="60% - Accent4 6 8 2" xfId="16746" xr:uid="{00000000-0005-0000-0000-0000A8390000}"/>
    <cellStyle name="60% - Accent4 6 9" xfId="16747" xr:uid="{00000000-0005-0000-0000-0000A9390000}"/>
    <cellStyle name="60% - Accent4 7" xfId="421" xr:uid="{00000000-0005-0000-0000-0000AA390000}"/>
    <cellStyle name="60% - Accent4 7 2" xfId="16749" xr:uid="{00000000-0005-0000-0000-0000AB390000}"/>
    <cellStyle name="60% - Accent4 7 3" xfId="16748" xr:uid="{00000000-0005-0000-0000-0000AC390000}"/>
    <cellStyle name="60% - Accent4 8" xfId="565" xr:uid="{00000000-0005-0000-0000-0000AD390000}"/>
    <cellStyle name="60% - Accent4 8 2" xfId="16751" xr:uid="{00000000-0005-0000-0000-0000AE390000}"/>
    <cellStyle name="60% - Accent4 8 3" xfId="16750" xr:uid="{00000000-0005-0000-0000-0000AF390000}"/>
    <cellStyle name="60% - Accent4 9" xfId="566" xr:uid="{00000000-0005-0000-0000-0000B0390000}"/>
    <cellStyle name="60% - Accent4 9 2" xfId="16753" xr:uid="{00000000-0005-0000-0000-0000B1390000}"/>
    <cellStyle name="60% - Accent4 9 3" xfId="16752" xr:uid="{00000000-0005-0000-0000-0000B2390000}"/>
    <cellStyle name="60% - Accent5 10" xfId="704" xr:uid="{00000000-0005-0000-0000-0000B3390000}"/>
    <cellStyle name="60% - Accent5 10 2" xfId="16756" xr:uid="{00000000-0005-0000-0000-0000B4390000}"/>
    <cellStyle name="60% - Accent5 10 3" xfId="16755" xr:uid="{00000000-0005-0000-0000-0000B5390000}"/>
    <cellStyle name="60% - Accent5 11" xfId="705" xr:uid="{00000000-0005-0000-0000-0000B6390000}"/>
    <cellStyle name="60% - Accent5 11 2" xfId="16758" xr:uid="{00000000-0005-0000-0000-0000B7390000}"/>
    <cellStyle name="60% - Accent5 11 3" xfId="16757" xr:uid="{00000000-0005-0000-0000-0000B8390000}"/>
    <cellStyle name="60% - Accent5 12" xfId="846" xr:uid="{00000000-0005-0000-0000-0000B9390000}"/>
    <cellStyle name="60% - Accent5 12 2" xfId="16759" xr:uid="{00000000-0005-0000-0000-0000BA390000}"/>
    <cellStyle name="60% - Accent5 13" xfId="847" xr:uid="{00000000-0005-0000-0000-0000BB390000}"/>
    <cellStyle name="60% - Accent5 13 2" xfId="16754" xr:uid="{00000000-0005-0000-0000-0000BC390000}"/>
    <cellStyle name="60% - Accent5 14" xfId="953" xr:uid="{00000000-0005-0000-0000-0000BD390000}"/>
    <cellStyle name="60% - Accent5 2" xfId="84" xr:uid="{00000000-0005-0000-0000-0000BE390000}"/>
    <cellStyle name="60% - Accent5 2 10" xfId="1683" xr:uid="{00000000-0005-0000-0000-0000BF390000}"/>
    <cellStyle name="60% - Accent5 2 10 2" xfId="16762" xr:uid="{00000000-0005-0000-0000-0000C0390000}"/>
    <cellStyle name="60% - Accent5 2 10 3" xfId="16761" xr:uid="{00000000-0005-0000-0000-0000C1390000}"/>
    <cellStyle name="60% - Accent5 2 11" xfId="2018" xr:uid="{00000000-0005-0000-0000-0000C2390000}"/>
    <cellStyle name="60% - Accent5 2 11 2" xfId="16764" xr:uid="{00000000-0005-0000-0000-0000C3390000}"/>
    <cellStyle name="60% - Accent5 2 11 3" xfId="16763" xr:uid="{00000000-0005-0000-0000-0000C4390000}"/>
    <cellStyle name="60% - Accent5 2 12" xfId="2392" xr:uid="{00000000-0005-0000-0000-0000C5390000}"/>
    <cellStyle name="60% - Accent5 2 12 2" xfId="16766" xr:uid="{00000000-0005-0000-0000-0000C6390000}"/>
    <cellStyle name="60% - Accent5 2 12 3" xfId="16765" xr:uid="{00000000-0005-0000-0000-0000C7390000}"/>
    <cellStyle name="60% - Accent5 2 13" xfId="2765" xr:uid="{00000000-0005-0000-0000-0000C8390000}"/>
    <cellStyle name="60% - Accent5 2 13 2" xfId="16768" xr:uid="{00000000-0005-0000-0000-0000C9390000}"/>
    <cellStyle name="60% - Accent5 2 13 3" xfId="16767" xr:uid="{00000000-0005-0000-0000-0000CA390000}"/>
    <cellStyle name="60% - Accent5 2 14" xfId="3139" xr:uid="{00000000-0005-0000-0000-0000CB390000}"/>
    <cellStyle name="60% - Accent5 2 14 2" xfId="16770" xr:uid="{00000000-0005-0000-0000-0000CC390000}"/>
    <cellStyle name="60% - Accent5 2 14 3" xfId="16769" xr:uid="{00000000-0005-0000-0000-0000CD390000}"/>
    <cellStyle name="60% - Accent5 2 15" xfId="3510" xr:uid="{00000000-0005-0000-0000-0000CE390000}"/>
    <cellStyle name="60% - Accent5 2 15 2" xfId="16772" xr:uid="{00000000-0005-0000-0000-0000CF390000}"/>
    <cellStyle name="60% - Accent5 2 15 3" xfId="16771" xr:uid="{00000000-0005-0000-0000-0000D0390000}"/>
    <cellStyle name="60% - Accent5 2 16" xfId="3648" xr:uid="{00000000-0005-0000-0000-0000D1390000}"/>
    <cellStyle name="60% - Accent5 2 16 2" xfId="16774" xr:uid="{00000000-0005-0000-0000-0000D2390000}"/>
    <cellStyle name="60% - Accent5 2 16 3" xfId="16773" xr:uid="{00000000-0005-0000-0000-0000D3390000}"/>
    <cellStyle name="60% - Accent5 2 17" xfId="16775" xr:uid="{00000000-0005-0000-0000-0000D4390000}"/>
    <cellStyle name="60% - Accent5 2 17 2" xfId="16776" xr:uid="{00000000-0005-0000-0000-0000D5390000}"/>
    <cellStyle name="60% - Accent5 2 18" xfId="16777" xr:uid="{00000000-0005-0000-0000-0000D6390000}"/>
    <cellStyle name="60% - Accent5 2 19" xfId="16760" xr:uid="{00000000-0005-0000-0000-0000D7390000}"/>
    <cellStyle name="60% - Accent5 2 2" xfId="128" xr:uid="{00000000-0005-0000-0000-0000D8390000}"/>
    <cellStyle name="60% - Accent5 2 2 2" xfId="189" xr:uid="{00000000-0005-0000-0000-0000D9390000}"/>
    <cellStyle name="60% - Accent5 2 2 2 2" xfId="16780" xr:uid="{00000000-0005-0000-0000-0000DA390000}"/>
    <cellStyle name="60% - Accent5 2 2 2 3" xfId="16779" xr:uid="{00000000-0005-0000-0000-0000DB390000}"/>
    <cellStyle name="60% - Accent5 2 2 3" xfId="353" xr:uid="{00000000-0005-0000-0000-0000DC390000}"/>
    <cellStyle name="60% - Accent5 2 2 3 2" xfId="16782" xr:uid="{00000000-0005-0000-0000-0000DD390000}"/>
    <cellStyle name="60% - Accent5 2 2 3 3" xfId="16781" xr:uid="{00000000-0005-0000-0000-0000DE390000}"/>
    <cellStyle name="60% - Accent5 2 2 4" xfId="2175" xr:uid="{00000000-0005-0000-0000-0000DF390000}"/>
    <cellStyle name="60% - Accent5 2 2 4 2" xfId="16784" xr:uid="{00000000-0005-0000-0000-0000E0390000}"/>
    <cellStyle name="60% - Accent5 2 2 4 3" xfId="16783" xr:uid="{00000000-0005-0000-0000-0000E1390000}"/>
    <cellStyle name="60% - Accent5 2 2 5" xfId="2549" xr:uid="{00000000-0005-0000-0000-0000E2390000}"/>
    <cellStyle name="60% - Accent5 2 2 5 2" xfId="16786" xr:uid="{00000000-0005-0000-0000-0000E3390000}"/>
    <cellStyle name="60% - Accent5 2 2 5 3" xfId="16785" xr:uid="{00000000-0005-0000-0000-0000E4390000}"/>
    <cellStyle name="60% - Accent5 2 2 6" xfId="2921" xr:uid="{00000000-0005-0000-0000-0000E5390000}"/>
    <cellStyle name="60% - Accent5 2 2 6 2" xfId="16788" xr:uid="{00000000-0005-0000-0000-0000E6390000}"/>
    <cellStyle name="60% - Accent5 2 2 6 3" xfId="16787" xr:uid="{00000000-0005-0000-0000-0000E7390000}"/>
    <cellStyle name="60% - Accent5 2 2 7" xfId="3293" xr:uid="{00000000-0005-0000-0000-0000E8390000}"/>
    <cellStyle name="60% - Accent5 2 2 7 2" xfId="16790" xr:uid="{00000000-0005-0000-0000-0000E9390000}"/>
    <cellStyle name="60% - Accent5 2 2 7 3" xfId="16789" xr:uid="{00000000-0005-0000-0000-0000EA390000}"/>
    <cellStyle name="60% - Accent5 2 2 8" xfId="16791" xr:uid="{00000000-0005-0000-0000-0000EB390000}"/>
    <cellStyle name="60% - Accent5 2 2 9" xfId="16778" xr:uid="{00000000-0005-0000-0000-0000EC390000}"/>
    <cellStyle name="60% - Accent5 2 20" xfId="24482" xr:uid="{00000000-0005-0000-0000-0000ED390000}"/>
    <cellStyle name="60% - Accent5 2 3" xfId="293" xr:uid="{00000000-0005-0000-0000-0000EE390000}"/>
    <cellStyle name="60% - Accent5 2 3 2" xfId="1351" xr:uid="{00000000-0005-0000-0000-0000EF390000}"/>
    <cellStyle name="60% - Accent5 2 3 2 2" xfId="16793" xr:uid="{00000000-0005-0000-0000-0000F0390000}"/>
    <cellStyle name="60% - Accent5 2 3 3" xfId="16792" xr:uid="{00000000-0005-0000-0000-0000F1390000}"/>
    <cellStyle name="60% - Accent5 2 4" xfId="422" xr:uid="{00000000-0005-0000-0000-0000F2390000}"/>
    <cellStyle name="60% - Accent5 2 4 2" xfId="16795" xr:uid="{00000000-0005-0000-0000-0000F3390000}"/>
    <cellStyle name="60% - Accent5 2 4 3" xfId="16794" xr:uid="{00000000-0005-0000-0000-0000F4390000}"/>
    <cellStyle name="60% - Accent5 2 5" xfId="567" xr:uid="{00000000-0005-0000-0000-0000F5390000}"/>
    <cellStyle name="60% - Accent5 2 5 2" xfId="16797" xr:uid="{00000000-0005-0000-0000-0000F6390000}"/>
    <cellStyle name="60% - Accent5 2 5 3" xfId="16796" xr:uid="{00000000-0005-0000-0000-0000F7390000}"/>
    <cellStyle name="60% - Accent5 2 6" xfId="706" xr:uid="{00000000-0005-0000-0000-0000F8390000}"/>
    <cellStyle name="60% - Accent5 2 6 2" xfId="16799" xr:uid="{00000000-0005-0000-0000-0000F9390000}"/>
    <cellStyle name="60% - Accent5 2 6 3" xfId="16798" xr:uid="{00000000-0005-0000-0000-0000FA390000}"/>
    <cellStyle name="60% - Accent5 2 7" xfId="707" xr:uid="{00000000-0005-0000-0000-0000FB390000}"/>
    <cellStyle name="60% - Accent5 2 7 2" xfId="16801" xr:uid="{00000000-0005-0000-0000-0000FC390000}"/>
    <cellStyle name="60% - Accent5 2 7 3" xfId="16800" xr:uid="{00000000-0005-0000-0000-0000FD390000}"/>
    <cellStyle name="60% - Accent5 2 8" xfId="848" xr:uid="{00000000-0005-0000-0000-0000FE390000}"/>
    <cellStyle name="60% - Accent5 2 8 2" xfId="1412" xr:uid="{00000000-0005-0000-0000-0000FF390000}"/>
    <cellStyle name="60% - Accent5 2 8 2 2" xfId="16803" xr:uid="{00000000-0005-0000-0000-0000003A0000}"/>
    <cellStyle name="60% - Accent5 2 8 3" xfId="16802" xr:uid="{00000000-0005-0000-0000-0000013A0000}"/>
    <cellStyle name="60% - Accent5 2 9" xfId="954" xr:uid="{00000000-0005-0000-0000-0000023A0000}"/>
    <cellStyle name="60% - Accent5 2 9 2" xfId="1390" xr:uid="{00000000-0005-0000-0000-0000033A0000}"/>
    <cellStyle name="60% - Accent5 2 9 2 2" xfId="16805" xr:uid="{00000000-0005-0000-0000-0000043A0000}"/>
    <cellStyle name="60% - Accent5 2 9 3" xfId="16804" xr:uid="{00000000-0005-0000-0000-0000053A0000}"/>
    <cellStyle name="60% - Accent5 3" xfId="230" xr:uid="{00000000-0005-0000-0000-0000063A0000}"/>
    <cellStyle name="60% - Accent5 3 10" xfId="3691" xr:uid="{00000000-0005-0000-0000-0000073A0000}"/>
    <cellStyle name="60% - Accent5 3 10 2" xfId="16808" xr:uid="{00000000-0005-0000-0000-0000083A0000}"/>
    <cellStyle name="60% - Accent5 3 10 3" xfId="16807" xr:uid="{00000000-0005-0000-0000-0000093A0000}"/>
    <cellStyle name="60% - Accent5 3 11" xfId="16809" xr:uid="{00000000-0005-0000-0000-00000A3A0000}"/>
    <cellStyle name="60% - Accent5 3 11 2" xfId="16810" xr:uid="{00000000-0005-0000-0000-00000B3A0000}"/>
    <cellStyle name="60% - Accent5 3 12" xfId="16811" xr:uid="{00000000-0005-0000-0000-00000C3A0000}"/>
    <cellStyle name="60% - Accent5 3 13" xfId="16806" xr:uid="{00000000-0005-0000-0000-00000D3A0000}"/>
    <cellStyle name="60% - Accent5 3 2" xfId="1464" xr:uid="{00000000-0005-0000-0000-00000E3A0000}"/>
    <cellStyle name="60% - Accent5 3 2 2" xfId="1841" xr:uid="{00000000-0005-0000-0000-00000F3A0000}"/>
    <cellStyle name="60% - Accent5 3 2 2 2" xfId="16814" xr:uid="{00000000-0005-0000-0000-0000103A0000}"/>
    <cellStyle name="60% - Accent5 3 2 2 3" xfId="16813" xr:uid="{00000000-0005-0000-0000-0000113A0000}"/>
    <cellStyle name="60% - Accent5 3 2 3" xfId="2216" xr:uid="{00000000-0005-0000-0000-0000123A0000}"/>
    <cellStyle name="60% - Accent5 3 2 3 2" xfId="16816" xr:uid="{00000000-0005-0000-0000-0000133A0000}"/>
    <cellStyle name="60% - Accent5 3 2 3 3" xfId="16815" xr:uid="{00000000-0005-0000-0000-0000143A0000}"/>
    <cellStyle name="60% - Accent5 3 2 4" xfId="2590" xr:uid="{00000000-0005-0000-0000-0000153A0000}"/>
    <cellStyle name="60% - Accent5 3 2 4 2" xfId="16818" xr:uid="{00000000-0005-0000-0000-0000163A0000}"/>
    <cellStyle name="60% - Accent5 3 2 4 3" xfId="16817" xr:uid="{00000000-0005-0000-0000-0000173A0000}"/>
    <cellStyle name="60% - Accent5 3 2 5" xfId="2962" xr:uid="{00000000-0005-0000-0000-0000183A0000}"/>
    <cellStyle name="60% - Accent5 3 2 5 2" xfId="16820" xr:uid="{00000000-0005-0000-0000-0000193A0000}"/>
    <cellStyle name="60% - Accent5 3 2 5 3" xfId="16819" xr:uid="{00000000-0005-0000-0000-00001A3A0000}"/>
    <cellStyle name="60% - Accent5 3 2 6" xfId="3334" xr:uid="{00000000-0005-0000-0000-00001B3A0000}"/>
    <cellStyle name="60% - Accent5 3 2 6 2" xfId="16822" xr:uid="{00000000-0005-0000-0000-00001C3A0000}"/>
    <cellStyle name="60% - Accent5 3 2 6 3" xfId="16821" xr:uid="{00000000-0005-0000-0000-00001D3A0000}"/>
    <cellStyle name="60% - Accent5 3 2 7" xfId="16823" xr:uid="{00000000-0005-0000-0000-00001E3A0000}"/>
    <cellStyle name="60% - Accent5 3 2 8" xfId="16812" xr:uid="{00000000-0005-0000-0000-00001F3A0000}"/>
    <cellStyle name="60% - Accent5 3 3" xfId="1591" xr:uid="{00000000-0005-0000-0000-0000203A0000}"/>
    <cellStyle name="60% - Accent5 3 3 2" xfId="1918" xr:uid="{00000000-0005-0000-0000-0000213A0000}"/>
    <cellStyle name="60% - Accent5 3 3 2 2" xfId="16826" xr:uid="{00000000-0005-0000-0000-0000223A0000}"/>
    <cellStyle name="60% - Accent5 3 3 2 3" xfId="16825" xr:uid="{00000000-0005-0000-0000-0000233A0000}"/>
    <cellStyle name="60% - Accent5 3 3 3" xfId="2293" xr:uid="{00000000-0005-0000-0000-0000243A0000}"/>
    <cellStyle name="60% - Accent5 3 3 3 2" xfId="16828" xr:uid="{00000000-0005-0000-0000-0000253A0000}"/>
    <cellStyle name="60% - Accent5 3 3 3 3" xfId="16827" xr:uid="{00000000-0005-0000-0000-0000263A0000}"/>
    <cellStyle name="60% - Accent5 3 3 4" xfId="2666" xr:uid="{00000000-0005-0000-0000-0000273A0000}"/>
    <cellStyle name="60% - Accent5 3 3 4 2" xfId="16830" xr:uid="{00000000-0005-0000-0000-0000283A0000}"/>
    <cellStyle name="60% - Accent5 3 3 4 3" xfId="16829" xr:uid="{00000000-0005-0000-0000-0000293A0000}"/>
    <cellStyle name="60% - Accent5 3 3 5" xfId="3039" xr:uid="{00000000-0005-0000-0000-00002A3A0000}"/>
    <cellStyle name="60% - Accent5 3 3 5 2" xfId="16832" xr:uid="{00000000-0005-0000-0000-00002B3A0000}"/>
    <cellStyle name="60% - Accent5 3 3 5 3" xfId="16831" xr:uid="{00000000-0005-0000-0000-00002C3A0000}"/>
    <cellStyle name="60% - Accent5 3 3 6" xfId="3410" xr:uid="{00000000-0005-0000-0000-00002D3A0000}"/>
    <cellStyle name="60% - Accent5 3 3 6 2" xfId="16834" xr:uid="{00000000-0005-0000-0000-00002E3A0000}"/>
    <cellStyle name="60% - Accent5 3 3 6 3" xfId="16833" xr:uid="{00000000-0005-0000-0000-00002F3A0000}"/>
    <cellStyle name="60% - Accent5 3 3 7" xfId="16835" xr:uid="{00000000-0005-0000-0000-0000303A0000}"/>
    <cellStyle name="60% - Accent5 3 3 8" xfId="16824" xr:uid="{00000000-0005-0000-0000-0000313A0000}"/>
    <cellStyle name="60% - Accent5 3 4" xfId="1728" xr:uid="{00000000-0005-0000-0000-0000323A0000}"/>
    <cellStyle name="60% - Accent5 3 4 2" xfId="1962" xr:uid="{00000000-0005-0000-0000-0000333A0000}"/>
    <cellStyle name="60% - Accent5 3 4 2 2" xfId="16838" xr:uid="{00000000-0005-0000-0000-0000343A0000}"/>
    <cellStyle name="60% - Accent5 3 4 2 3" xfId="16837" xr:uid="{00000000-0005-0000-0000-0000353A0000}"/>
    <cellStyle name="60% - Accent5 3 4 3" xfId="2337" xr:uid="{00000000-0005-0000-0000-0000363A0000}"/>
    <cellStyle name="60% - Accent5 3 4 3 2" xfId="16840" xr:uid="{00000000-0005-0000-0000-0000373A0000}"/>
    <cellStyle name="60% - Accent5 3 4 3 3" xfId="16839" xr:uid="{00000000-0005-0000-0000-0000383A0000}"/>
    <cellStyle name="60% - Accent5 3 4 4" xfId="2710" xr:uid="{00000000-0005-0000-0000-0000393A0000}"/>
    <cellStyle name="60% - Accent5 3 4 4 2" xfId="16842" xr:uid="{00000000-0005-0000-0000-00003A3A0000}"/>
    <cellStyle name="60% - Accent5 3 4 4 3" xfId="16841" xr:uid="{00000000-0005-0000-0000-00003B3A0000}"/>
    <cellStyle name="60% - Accent5 3 4 5" xfId="3083" xr:uid="{00000000-0005-0000-0000-00003C3A0000}"/>
    <cellStyle name="60% - Accent5 3 4 5 2" xfId="16844" xr:uid="{00000000-0005-0000-0000-00003D3A0000}"/>
    <cellStyle name="60% - Accent5 3 4 5 3" xfId="16843" xr:uid="{00000000-0005-0000-0000-00003E3A0000}"/>
    <cellStyle name="60% - Accent5 3 4 6" xfId="3454" xr:uid="{00000000-0005-0000-0000-00003F3A0000}"/>
    <cellStyle name="60% - Accent5 3 4 6 2" xfId="16846" xr:uid="{00000000-0005-0000-0000-0000403A0000}"/>
    <cellStyle name="60% - Accent5 3 4 6 3" xfId="16845" xr:uid="{00000000-0005-0000-0000-0000413A0000}"/>
    <cellStyle name="60% - Accent5 3 4 7" xfId="16847" xr:uid="{00000000-0005-0000-0000-0000423A0000}"/>
    <cellStyle name="60% - Accent5 3 4 8" xfId="16836" xr:uid="{00000000-0005-0000-0000-0000433A0000}"/>
    <cellStyle name="60% - Accent5 3 5" xfId="2063" xr:uid="{00000000-0005-0000-0000-0000443A0000}"/>
    <cellStyle name="60% - Accent5 3 5 2" xfId="16849" xr:uid="{00000000-0005-0000-0000-0000453A0000}"/>
    <cellStyle name="60% - Accent5 3 5 3" xfId="16848" xr:uid="{00000000-0005-0000-0000-0000463A0000}"/>
    <cellStyle name="60% - Accent5 3 6" xfId="2437" xr:uid="{00000000-0005-0000-0000-0000473A0000}"/>
    <cellStyle name="60% - Accent5 3 6 2" xfId="16851" xr:uid="{00000000-0005-0000-0000-0000483A0000}"/>
    <cellStyle name="60% - Accent5 3 6 3" xfId="16850" xr:uid="{00000000-0005-0000-0000-0000493A0000}"/>
    <cellStyle name="60% - Accent5 3 7" xfId="2809" xr:uid="{00000000-0005-0000-0000-00004A3A0000}"/>
    <cellStyle name="60% - Accent5 3 7 2" xfId="16853" xr:uid="{00000000-0005-0000-0000-00004B3A0000}"/>
    <cellStyle name="60% - Accent5 3 7 3" xfId="16852" xr:uid="{00000000-0005-0000-0000-00004C3A0000}"/>
    <cellStyle name="60% - Accent5 3 8" xfId="3180" xr:uid="{00000000-0005-0000-0000-00004D3A0000}"/>
    <cellStyle name="60% - Accent5 3 8 2" xfId="16855" xr:uid="{00000000-0005-0000-0000-00004E3A0000}"/>
    <cellStyle name="60% - Accent5 3 8 3" xfId="16854" xr:uid="{00000000-0005-0000-0000-00004F3A0000}"/>
    <cellStyle name="60% - Accent5 3 9" xfId="3555" xr:uid="{00000000-0005-0000-0000-0000503A0000}"/>
    <cellStyle name="60% - Accent5 3 9 2" xfId="16857" xr:uid="{00000000-0005-0000-0000-0000513A0000}"/>
    <cellStyle name="60% - Accent5 3 9 3" xfId="16856" xr:uid="{00000000-0005-0000-0000-0000523A0000}"/>
    <cellStyle name="60% - Accent5 4" xfId="251" xr:uid="{00000000-0005-0000-0000-0000533A0000}"/>
    <cellStyle name="60% - Accent5 4 10" xfId="3735" xr:uid="{00000000-0005-0000-0000-0000543A0000}"/>
    <cellStyle name="60% - Accent5 4 10 2" xfId="16860" xr:uid="{00000000-0005-0000-0000-0000553A0000}"/>
    <cellStyle name="60% - Accent5 4 10 3" xfId="16859" xr:uid="{00000000-0005-0000-0000-0000563A0000}"/>
    <cellStyle name="60% - Accent5 4 11" xfId="1312" xr:uid="{00000000-0005-0000-0000-0000573A0000}"/>
    <cellStyle name="60% - Accent5 4 11 2" xfId="16862" xr:uid="{00000000-0005-0000-0000-0000583A0000}"/>
    <cellStyle name="60% - Accent5 4 11 3" xfId="16861" xr:uid="{00000000-0005-0000-0000-0000593A0000}"/>
    <cellStyle name="60% - Accent5 4 12" xfId="16863" xr:uid="{00000000-0005-0000-0000-00005A3A0000}"/>
    <cellStyle name="60% - Accent5 4 13" xfId="16858" xr:uid="{00000000-0005-0000-0000-00005B3A0000}"/>
    <cellStyle name="60% - Accent5 4 2" xfId="1509" xr:uid="{00000000-0005-0000-0000-00005C3A0000}"/>
    <cellStyle name="60% - Accent5 4 2 2" xfId="16865" xr:uid="{00000000-0005-0000-0000-00005D3A0000}"/>
    <cellStyle name="60% - Accent5 4 2 3" xfId="16864" xr:uid="{00000000-0005-0000-0000-00005E3A0000}"/>
    <cellStyle name="60% - Accent5 4 3" xfId="1634" xr:uid="{00000000-0005-0000-0000-00005F3A0000}"/>
    <cellStyle name="60% - Accent5 4 3 2" xfId="16867" xr:uid="{00000000-0005-0000-0000-0000603A0000}"/>
    <cellStyle name="60% - Accent5 4 3 3" xfId="16866" xr:uid="{00000000-0005-0000-0000-0000613A0000}"/>
    <cellStyle name="60% - Accent5 4 4" xfId="1791" xr:uid="{00000000-0005-0000-0000-0000623A0000}"/>
    <cellStyle name="60% - Accent5 4 4 2" xfId="16869" xr:uid="{00000000-0005-0000-0000-0000633A0000}"/>
    <cellStyle name="60% - Accent5 4 4 3" xfId="16868" xr:uid="{00000000-0005-0000-0000-0000643A0000}"/>
    <cellStyle name="60% - Accent5 4 5" xfId="2127" xr:uid="{00000000-0005-0000-0000-0000653A0000}"/>
    <cellStyle name="60% - Accent5 4 5 2" xfId="16871" xr:uid="{00000000-0005-0000-0000-0000663A0000}"/>
    <cellStyle name="60% - Accent5 4 5 3" xfId="16870" xr:uid="{00000000-0005-0000-0000-0000673A0000}"/>
    <cellStyle name="60% - Accent5 4 6" xfId="2501" xr:uid="{00000000-0005-0000-0000-0000683A0000}"/>
    <cellStyle name="60% - Accent5 4 6 2" xfId="16873" xr:uid="{00000000-0005-0000-0000-0000693A0000}"/>
    <cellStyle name="60% - Accent5 4 6 3" xfId="16872" xr:uid="{00000000-0005-0000-0000-00006A3A0000}"/>
    <cellStyle name="60% - Accent5 4 7" xfId="2873" xr:uid="{00000000-0005-0000-0000-00006B3A0000}"/>
    <cellStyle name="60% - Accent5 4 7 2" xfId="16875" xr:uid="{00000000-0005-0000-0000-00006C3A0000}"/>
    <cellStyle name="60% - Accent5 4 7 3" xfId="16874" xr:uid="{00000000-0005-0000-0000-00006D3A0000}"/>
    <cellStyle name="60% - Accent5 4 8" xfId="3244" xr:uid="{00000000-0005-0000-0000-00006E3A0000}"/>
    <cellStyle name="60% - Accent5 4 8 2" xfId="16877" xr:uid="{00000000-0005-0000-0000-00006F3A0000}"/>
    <cellStyle name="60% - Accent5 4 8 3" xfId="16876" xr:uid="{00000000-0005-0000-0000-0000703A0000}"/>
    <cellStyle name="60% - Accent5 4 9" xfId="3598" xr:uid="{00000000-0005-0000-0000-0000713A0000}"/>
    <cellStyle name="60% - Accent5 4 9 2" xfId="16879" xr:uid="{00000000-0005-0000-0000-0000723A0000}"/>
    <cellStyle name="60% - Accent5 4 9 3" xfId="16878" xr:uid="{00000000-0005-0000-0000-0000733A0000}"/>
    <cellStyle name="60% - Accent5 5" xfId="423" xr:uid="{00000000-0005-0000-0000-0000743A0000}"/>
    <cellStyle name="60% - Accent5 5 2" xfId="1858" xr:uid="{00000000-0005-0000-0000-0000753A0000}"/>
    <cellStyle name="60% - Accent5 5 2 2" xfId="16882" xr:uid="{00000000-0005-0000-0000-0000763A0000}"/>
    <cellStyle name="60% - Accent5 5 2 3" xfId="16881" xr:uid="{00000000-0005-0000-0000-0000773A0000}"/>
    <cellStyle name="60% - Accent5 5 3" xfId="2233" xr:uid="{00000000-0005-0000-0000-0000783A0000}"/>
    <cellStyle name="60% - Accent5 5 3 2" xfId="16884" xr:uid="{00000000-0005-0000-0000-0000793A0000}"/>
    <cellStyle name="60% - Accent5 5 3 3" xfId="16883" xr:uid="{00000000-0005-0000-0000-00007A3A0000}"/>
    <cellStyle name="60% - Accent5 5 4" xfId="2607" xr:uid="{00000000-0005-0000-0000-00007B3A0000}"/>
    <cellStyle name="60% - Accent5 5 4 2" xfId="16886" xr:uid="{00000000-0005-0000-0000-00007C3A0000}"/>
    <cellStyle name="60% - Accent5 5 4 3" xfId="16885" xr:uid="{00000000-0005-0000-0000-00007D3A0000}"/>
    <cellStyle name="60% - Accent5 5 5" xfId="2979" xr:uid="{00000000-0005-0000-0000-00007E3A0000}"/>
    <cellStyle name="60% - Accent5 5 5 2" xfId="16888" xr:uid="{00000000-0005-0000-0000-00007F3A0000}"/>
    <cellStyle name="60% - Accent5 5 5 3" xfId="16887" xr:uid="{00000000-0005-0000-0000-0000803A0000}"/>
    <cellStyle name="60% - Accent5 5 6" xfId="3351" xr:uid="{00000000-0005-0000-0000-0000813A0000}"/>
    <cellStyle name="60% - Accent5 5 6 2" xfId="16890" xr:uid="{00000000-0005-0000-0000-0000823A0000}"/>
    <cellStyle name="60% - Accent5 5 6 3" xfId="16889" xr:uid="{00000000-0005-0000-0000-0000833A0000}"/>
    <cellStyle name="60% - Accent5 5 7" xfId="16891" xr:uid="{00000000-0005-0000-0000-0000843A0000}"/>
    <cellStyle name="60% - Accent5 5 7 2" xfId="16892" xr:uid="{00000000-0005-0000-0000-0000853A0000}"/>
    <cellStyle name="60% - Accent5 5 8" xfId="16893" xr:uid="{00000000-0005-0000-0000-0000863A0000}"/>
    <cellStyle name="60% - Accent5 5 9" xfId="16880" xr:uid="{00000000-0005-0000-0000-0000873A0000}"/>
    <cellStyle name="60% - Accent5 6" xfId="424" xr:uid="{00000000-0005-0000-0000-0000883A0000}"/>
    <cellStyle name="60% - Accent5 6 10" xfId="16894" xr:uid="{00000000-0005-0000-0000-0000893A0000}"/>
    <cellStyle name="60% - Accent5 6 2" xfId="1985" xr:uid="{00000000-0005-0000-0000-00008A3A0000}"/>
    <cellStyle name="60% - Accent5 6 2 2" xfId="16896" xr:uid="{00000000-0005-0000-0000-00008B3A0000}"/>
    <cellStyle name="60% - Accent5 6 2 3" xfId="16895" xr:uid="{00000000-0005-0000-0000-00008C3A0000}"/>
    <cellStyle name="60% - Accent5 6 3" xfId="2360" xr:uid="{00000000-0005-0000-0000-00008D3A0000}"/>
    <cellStyle name="60% - Accent5 6 3 2" xfId="16898" xr:uid="{00000000-0005-0000-0000-00008E3A0000}"/>
    <cellStyle name="60% - Accent5 6 3 3" xfId="16897" xr:uid="{00000000-0005-0000-0000-00008F3A0000}"/>
    <cellStyle name="60% - Accent5 6 4" xfId="2733" xr:uid="{00000000-0005-0000-0000-0000903A0000}"/>
    <cellStyle name="60% - Accent5 6 4 2" xfId="16900" xr:uid="{00000000-0005-0000-0000-0000913A0000}"/>
    <cellStyle name="60% - Accent5 6 4 3" xfId="16899" xr:uid="{00000000-0005-0000-0000-0000923A0000}"/>
    <cellStyle name="60% - Accent5 6 5" xfId="3106" xr:uid="{00000000-0005-0000-0000-0000933A0000}"/>
    <cellStyle name="60% - Accent5 6 5 2" xfId="16902" xr:uid="{00000000-0005-0000-0000-0000943A0000}"/>
    <cellStyle name="60% - Accent5 6 5 3" xfId="16901" xr:uid="{00000000-0005-0000-0000-0000953A0000}"/>
    <cellStyle name="60% - Accent5 6 6" xfId="3477" xr:uid="{00000000-0005-0000-0000-0000963A0000}"/>
    <cellStyle name="60% - Accent5 6 6 2" xfId="16904" xr:uid="{00000000-0005-0000-0000-0000973A0000}"/>
    <cellStyle name="60% - Accent5 6 6 3" xfId="16903" xr:uid="{00000000-0005-0000-0000-0000983A0000}"/>
    <cellStyle name="60% - Accent5 6 7" xfId="3783" xr:uid="{00000000-0005-0000-0000-0000993A0000}"/>
    <cellStyle name="60% - Accent5 6 7 2" xfId="16906" xr:uid="{00000000-0005-0000-0000-00009A3A0000}"/>
    <cellStyle name="60% - Accent5 6 7 3" xfId="16905" xr:uid="{00000000-0005-0000-0000-00009B3A0000}"/>
    <cellStyle name="60% - Accent5 6 8" xfId="16907" xr:uid="{00000000-0005-0000-0000-00009C3A0000}"/>
    <cellStyle name="60% - Accent5 6 8 2" xfId="16908" xr:uid="{00000000-0005-0000-0000-00009D3A0000}"/>
    <cellStyle name="60% - Accent5 6 9" xfId="16909" xr:uid="{00000000-0005-0000-0000-00009E3A0000}"/>
    <cellStyle name="60% - Accent5 7" xfId="425" xr:uid="{00000000-0005-0000-0000-00009F3A0000}"/>
    <cellStyle name="60% - Accent5 7 2" xfId="16911" xr:uid="{00000000-0005-0000-0000-0000A03A0000}"/>
    <cellStyle name="60% - Accent5 7 3" xfId="16910" xr:uid="{00000000-0005-0000-0000-0000A13A0000}"/>
    <cellStyle name="60% - Accent5 8" xfId="568" xr:uid="{00000000-0005-0000-0000-0000A23A0000}"/>
    <cellStyle name="60% - Accent5 8 2" xfId="16913" xr:uid="{00000000-0005-0000-0000-0000A33A0000}"/>
    <cellStyle name="60% - Accent5 8 3" xfId="16912" xr:uid="{00000000-0005-0000-0000-0000A43A0000}"/>
    <cellStyle name="60% - Accent5 9" xfId="569" xr:uid="{00000000-0005-0000-0000-0000A53A0000}"/>
    <cellStyle name="60% - Accent5 9 2" xfId="16915" xr:uid="{00000000-0005-0000-0000-0000A63A0000}"/>
    <cellStyle name="60% - Accent5 9 3" xfId="16914" xr:uid="{00000000-0005-0000-0000-0000A73A0000}"/>
    <cellStyle name="60% - Accent6 10" xfId="708" xr:uid="{00000000-0005-0000-0000-0000A83A0000}"/>
    <cellStyle name="60% - Accent6 10 2" xfId="16918" xr:uid="{00000000-0005-0000-0000-0000A93A0000}"/>
    <cellStyle name="60% - Accent6 10 3" xfId="16917" xr:uid="{00000000-0005-0000-0000-0000AA3A0000}"/>
    <cellStyle name="60% - Accent6 11" xfId="709" xr:uid="{00000000-0005-0000-0000-0000AB3A0000}"/>
    <cellStyle name="60% - Accent6 11 2" xfId="16920" xr:uid="{00000000-0005-0000-0000-0000AC3A0000}"/>
    <cellStyle name="60% - Accent6 11 3" xfId="16919" xr:uid="{00000000-0005-0000-0000-0000AD3A0000}"/>
    <cellStyle name="60% - Accent6 12" xfId="849" xr:uid="{00000000-0005-0000-0000-0000AE3A0000}"/>
    <cellStyle name="60% - Accent6 12 2" xfId="16921" xr:uid="{00000000-0005-0000-0000-0000AF3A0000}"/>
    <cellStyle name="60% - Accent6 13" xfId="850" xr:uid="{00000000-0005-0000-0000-0000B03A0000}"/>
    <cellStyle name="60% - Accent6 13 2" xfId="16916" xr:uid="{00000000-0005-0000-0000-0000B13A0000}"/>
    <cellStyle name="60% - Accent6 14" xfId="955" xr:uid="{00000000-0005-0000-0000-0000B23A0000}"/>
    <cellStyle name="60% - Accent6 2" xfId="85" xr:uid="{00000000-0005-0000-0000-0000B33A0000}"/>
    <cellStyle name="60% - Accent6 2 10" xfId="1684" xr:uid="{00000000-0005-0000-0000-0000B43A0000}"/>
    <cellStyle name="60% - Accent6 2 10 2" xfId="16924" xr:uid="{00000000-0005-0000-0000-0000B53A0000}"/>
    <cellStyle name="60% - Accent6 2 10 3" xfId="16923" xr:uid="{00000000-0005-0000-0000-0000B63A0000}"/>
    <cellStyle name="60% - Accent6 2 11" xfId="2019" xr:uid="{00000000-0005-0000-0000-0000B73A0000}"/>
    <cellStyle name="60% - Accent6 2 11 2" xfId="16926" xr:uid="{00000000-0005-0000-0000-0000B83A0000}"/>
    <cellStyle name="60% - Accent6 2 11 3" xfId="16925" xr:uid="{00000000-0005-0000-0000-0000B93A0000}"/>
    <cellStyle name="60% - Accent6 2 12" xfId="2393" xr:uid="{00000000-0005-0000-0000-0000BA3A0000}"/>
    <cellStyle name="60% - Accent6 2 12 2" xfId="16928" xr:uid="{00000000-0005-0000-0000-0000BB3A0000}"/>
    <cellStyle name="60% - Accent6 2 12 3" xfId="16927" xr:uid="{00000000-0005-0000-0000-0000BC3A0000}"/>
    <cellStyle name="60% - Accent6 2 13" xfId="2766" xr:uid="{00000000-0005-0000-0000-0000BD3A0000}"/>
    <cellStyle name="60% - Accent6 2 13 2" xfId="16930" xr:uid="{00000000-0005-0000-0000-0000BE3A0000}"/>
    <cellStyle name="60% - Accent6 2 13 3" xfId="16929" xr:uid="{00000000-0005-0000-0000-0000BF3A0000}"/>
    <cellStyle name="60% - Accent6 2 14" xfId="3140" xr:uid="{00000000-0005-0000-0000-0000C03A0000}"/>
    <cellStyle name="60% - Accent6 2 14 2" xfId="16932" xr:uid="{00000000-0005-0000-0000-0000C13A0000}"/>
    <cellStyle name="60% - Accent6 2 14 3" xfId="16931" xr:uid="{00000000-0005-0000-0000-0000C23A0000}"/>
    <cellStyle name="60% - Accent6 2 15" xfId="3511" xr:uid="{00000000-0005-0000-0000-0000C33A0000}"/>
    <cellStyle name="60% - Accent6 2 15 2" xfId="16934" xr:uid="{00000000-0005-0000-0000-0000C43A0000}"/>
    <cellStyle name="60% - Accent6 2 15 3" xfId="16933" xr:uid="{00000000-0005-0000-0000-0000C53A0000}"/>
    <cellStyle name="60% - Accent6 2 16" xfId="3649" xr:uid="{00000000-0005-0000-0000-0000C63A0000}"/>
    <cellStyle name="60% - Accent6 2 16 2" xfId="16936" xr:uid="{00000000-0005-0000-0000-0000C73A0000}"/>
    <cellStyle name="60% - Accent6 2 16 3" xfId="16935" xr:uid="{00000000-0005-0000-0000-0000C83A0000}"/>
    <cellStyle name="60% - Accent6 2 17" xfId="16937" xr:uid="{00000000-0005-0000-0000-0000C93A0000}"/>
    <cellStyle name="60% - Accent6 2 17 2" xfId="16938" xr:uid="{00000000-0005-0000-0000-0000CA3A0000}"/>
    <cellStyle name="60% - Accent6 2 18" xfId="16939" xr:uid="{00000000-0005-0000-0000-0000CB3A0000}"/>
    <cellStyle name="60% - Accent6 2 19" xfId="16922" xr:uid="{00000000-0005-0000-0000-0000CC3A0000}"/>
    <cellStyle name="60% - Accent6 2 2" xfId="129" xr:uid="{00000000-0005-0000-0000-0000CD3A0000}"/>
    <cellStyle name="60% - Accent6 2 2 2" xfId="193" xr:uid="{00000000-0005-0000-0000-0000CE3A0000}"/>
    <cellStyle name="60% - Accent6 2 2 2 2" xfId="16942" xr:uid="{00000000-0005-0000-0000-0000CF3A0000}"/>
    <cellStyle name="60% - Accent6 2 2 2 3" xfId="16941" xr:uid="{00000000-0005-0000-0000-0000D03A0000}"/>
    <cellStyle name="60% - Accent6 2 2 3" xfId="357" xr:uid="{00000000-0005-0000-0000-0000D13A0000}"/>
    <cellStyle name="60% - Accent6 2 2 3 2" xfId="16944" xr:uid="{00000000-0005-0000-0000-0000D23A0000}"/>
    <cellStyle name="60% - Accent6 2 2 3 3" xfId="16943" xr:uid="{00000000-0005-0000-0000-0000D33A0000}"/>
    <cellStyle name="60% - Accent6 2 2 4" xfId="2179" xr:uid="{00000000-0005-0000-0000-0000D43A0000}"/>
    <cellStyle name="60% - Accent6 2 2 4 2" xfId="16946" xr:uid="{00000000-0005-0000-0000-0000D53A0000}"/>
    <cellStyle name="60% - Accent6 2 2 4 3" xfId="16945" xr:uid="{00000000-0005-0000-0000-0000D63A0000}"/>
    <cellStyle name="60% - Accent6 2 2 5" xfId="2553" xr:uid="{00000000-0005-0000-0000-0000D73A0000}"/>
    <cellStyle name="60% - Accent6 2 2 5 2" xfId="16948" xr:uid="{00000000-0005-0000-0000-0000D83A0000}"/>
    <cellStyle name="60% - Accent6 2 2 5 3" xfId="16947" xr:uid="{00000000-0005-0000-0000-0000D93A0000}"/>
    <cellStyle name="60% - Accent6 2 2 6" xfId="2925" xr:uid="{00000000-0005-0000-0000-0000DA3A0000}"/>
    <cellStyle name="60% - Accent6 2 2 6 2" xfId="16950" xr:uid="{00000000-0005-0000-0000-0000DB3A0000}"/>
    <cellStyle name="60% - Accent6 2 2 6 3" xfId="16949" xr:uid="{00000000-0005-0000-0000-0000DC3A0000}"/>
    <cellStyle name="60% - Accent6 2 2 7" xfId="3297" xr:uid="{00000000-0005-0000-0000-0000DD3A0000}"/>
    <cellStyle name="60% - Accent6 2 2 7 2" xfId="16952" xr:uid="{00000000-0005-0000-0000-0000DE3A0000}"/>
    <cellStyle name="60% - Accent6 2 2 7 3" xfId="16951" xr:uid="{00000000-0005-0000-0000-0000DF3A0000}"/>
    <cellStyle name="60% - Accent6 2 2 8" xfId="16953" xr:uid="{00000000-0005-0000-0000-0000E03A0000}"/>
    <cellStyle name="60% - Accent6 2 2 9" xfId="16940" xr:uid="{00000000-0005-0000-0000-0000E13A0000}"/>
    <cellStyle name="60% - Accent6 2 20" xfId="24483" xr:uid="{00000000-0005-0000-0000-0000E23A0000}"/>
    <cellStyle name="60% - Accent6 2 3" xfId="294" xr:uid="{00000000-0005-0000-0000-0000E33A0000}"/>
    <cellStyle name="60% - Accent6 2 3 2" xfId="1355" xr:uid="{00000000-0005-0000-0000-0000E43A0000}"/>
    <cellStyle name="60% - Accent6 2 3 2 2" xfId="16955" xr:uid="{00000000-0005-0000-0000-0000E53A0000}"/>
    <cellStyle name="60% - Accent6 2 3 3" xfId="16954" xr:uid="{00000000-0005-0000-0000-0000E63A0000}"/>
    <cellStyle name="60% - Accent6 2 4" xfId="426" xr:uid="{00000000-0005-0000-0000-0000E73A0000}"/>
    <cellStyle name="60% - Accent6 2 4 2" xfId="16957" xr:uid="{00000000-0005-0000-0000-0000E83A0000}"/>
    <cellStyle name="60% - Accent6 2 4 3" xfId="16956" xr:uid="{00000000-0005-0000-0000-0000E93A0000}"/>
    <cellStyle name="60% - Accent6 2 5" xfId="570" xr:uid="{00000000-0005-0000-0000-0000EA3A0000}"/>
    <cellStyle name="60% - Accent6 2 5 2" xfId="16959" xr:uid="{00000000-0005-0000-0000-0000EB3A0000}"/>
    <cellStyle name="60% - Accent6 2 5 3" xfId="16958" xr:uid="{00000000-0005-0000-0000-0000EC3A0000}"/>
    <cellStyle name="60% - Accent6 2 6" xfId="710" xr:uid="{00000000-0005-0000-0000-0000ED3A0000}"/>
    <cellStyle name="60% - Accent6 2 6 2" xfId="16961" xr:uid="{00000000-0005-0000-0000-0000EE3A0000}"/>
    <cellStyle name="60% - Accent6 2 6 3" xfId="16960" xr:uid="{00000000-0005-0000-0000-0000EF3A0000}"/>
    <cellStyle name="60% - Accent6 2 7" xfId="711" xr:uid="{00000000-0005-0000-0000-0000F03A0000}"/>
    <cellStyle name="60% - Accent6 2 7 2" xfId="16963" xr:uid="{00000000-0005-0000-0000-0000F13A0000}"/>
    <cellStyle name="60% - Accent6 2 7 3" xfId="16962" xr:uid="{00000000-0005-0000-0000-0000F23A0000}"/>
    <cellStyle name="60% - Accent6 2 8" xfId="851" xr:uid="{00000000-0005-0000-0000-0000F33A0000}"/>
    <cellStyle name="60% - Accent6 2 8 2" xfId="1413" xr:uid="{00000000-0005-0000-0000-0000F43A0000}"/>
    <cellStyle name="60% - Accent6 2 8 2 2" xfId="16965" xr:uid="{00000000-0005-0000-0000-0000F53A0000}"/>
    <cellStyle name="60% - Accent6 2 8 3" xfId="16964" xr:uid="{00000000-0005-0000-0000-0000F63A0000}"/>
    <cellStyle name="60% - Accent6 2 9" xfId="956" xr:uid="{00000000-0005-0000-0000-0000F73A0000}"/>
    <cellStyle name="60% - Accent6 2 9 2" xfId="1564" xr:uid="{00000000-0005-0000-0000-0000F83A0000}"/>
    <cellStyle name="60% - Accent6 2 9 2 2" xfId="16967" xr:uid="{00000000-0005-0000-0000-0000F93A0000}"/>
    <cellStyle name="60% - Accent6 2 9 3" xfId="16966" xr:uid="{00000000-0005-0000-0000-0000FA3A0000}"/>
    <cellStyle name="60% - Accent6 3" xfId="234" xr:uid="{00000000-0005-0000-0000-0000FB3A0000}"/>
    <cellStyle name="60% - Accent6 3 10" xfId="3692" xr:uid="{00000000-0005-0000-0000-0000FC3A0000}"/>
    <cellStyle name="60% - Accent6 3 10 2" xfId="16970" xr:uid="{00000000-0005-0000-0000-0000FD3A0000}"/>
    <cellStyle name="60% - Accent6 3 10 3" xfId="16969" xr:uid="{00000000-0005-0000-0000-0000FE3A0000}"/>
    <cellStyle name="60% - Accent6 3 11" xfId="16971" xr:uid="{00000000-0005-0000-0000-0000FF3A0000}"/>
    <cellStyle name="60% - Accent6 3 11 2" xfId="16972" xr:uid="{00000000-0005-0000-0000-0000003B0000}"/>
    <cellStyle name="60% - Accent6 3 12" xfId="16973" xr:uid="{00000000-0005-0000-0000-0000013B0000}"/>
    <cellStyle name="60% - Accent6 3 13" xfId="16968" xr:uid="{00000000-0005-0000-0000-0000023B0000}"/>
    <cellStyle name="60% - Accent6 3 2" xfId="1465" xr:uid="{00000000-0005-0000-0000-0000033B0000}"/>
    <cellStyle name="60% - Accent6 3 2 2" xfId="1845" xr:uid="{00000000-0005-0000-0000-0000043B0000}"/>
    <cellStyle name="60% - Accent6 3 2 2 2" xfId="16976" xr:uid="{00000000-0005-0000-0000-0000053B0000}"/>
    <cellStyle name="60% - Accent6 3 2 2 3" xfId="16975" xr:uid="{00000000-0005-0000-0000-0000063B0000}"/>
    <cellStyle name="60% - Accent6 3 2 3" xfId="2220" xr:uid="{00000000-0005-0000-0000-0000073B0000}"/>
    <cellStyle name="60% - Accent6 3 2 3 2" xfId="16978" xr:uid="{00000000-0005-0000-0000-0000083B0000}"/>
    <cellStyle name="60% - Accent6 3 2 3 3" xfId="16977" xr:uid="{00000000-0005-0000-0000-0000093B0000}"/>
    <cellStyle name="60% - Accent6 3 2 4" xfId="2594" xr:uid="{00000000-0005-0000-0000-00000A3B0000}"/>
    <cellStyle name="60% - Accent6 3 2 4 2" xfId="16980" xr:uid="{00000000-0005-0000-0000-00000B3B0000}"/>
    <cellStyle name="60% - Accent6 3 2 4 3" xfId="16979" xr:uid="{00000000-0005-0000-0000-00000C3B0000}"/>
    <cellStyle name="60% - Accent6 3 2 5" xfId="2966" xr:uid="{00000000-0005-0000-0000-00000D3B0000}"/>
    <cellStyle name="60% - Accent6 3 2 5 2" xfId="16982" xr:uid="{00000000-0005-0000-0000-00000E3B0000}"/>
    <cellStyle name="60% - Accent6 3 2 5 3" xfId="16981" xr:uid="{00000000-0005-0000-0000-00000F3B0000}"/>
    <cellStyle name="60% - Accent6 3 2 6" xfId="3338" xr:uid="{00000000-0005-0000-0000-0000103B0000}"/>
    <cellStyle name="60% - Accent6 3 2 6 2" xfId="16984" xr:uid="{00000000-0005-0000-0000-0000113B0000}"/>
    <cellStyle name="60% - Accent6 3 2 6 3" xfId="16983" xr:uid="{00000000-0005-0000-0000-0000123B0000}"/>
    <cellStyle name="60% - Accent6 3 2 7" xfId="16985" xr:uid="{00000000-0005-0000-0000-0000133B0000}"/>
    <cellStyle name="60% - Accent6 3 2 8" xfId="16974" xr:uid="{00000000-0005-0000-0000-0000143B0000}"/>
    <cellStyle name="60% - Accent6 3 3" xfId="1592" xr:uid="{00000000-0005-0000-0000-0000153B0000}"/>
    <cellStyle name="60% - Accent6 3 3 2" xfId="1922" xr:uid="{00000000-0005-0000-0000-0000163B0000}"/>
    <cellStyle name="60% - Accent6 3 3 2 2" xfId="16988" xr:uid="{00000000-0005-0000-0000-0000173B0000}"/>
    <cellStyle name="60% - Accent6 3 3 2 3" xfId="16987" xr:uid="{00000000-0005-0000-0000-0000183B0000}"/>
    <cellStyle name="60% - Accent6 3 3 3" xfId="2297" xr:uid="{00000000-0005-0000-0000-0000193B0000}"/>
    <cellStyle name="60% - Accent6 3 3 3 2" xfId="16990" xr:uid="{00000000-0005-0000-0000-00001A3B0000}"/>
    <cellStyle name="60% - Accent6 3 3 3 3" xfId="16989" xr:uid="{00000000-0005-0000-0000-00001B3B0000}"/>
    <cellStyle name="60% - Accent6 3 3 4" xfId="2670" xr:uid="{00000000-0005-0000-0000-00001C3B0000}"/>
    <cellStyle name="60% - Accent6 3 3 4 2" xfId="16992" xr:uid="{00000000-0005-0000-0000-00001D3B0000}"/>
    <cellStyle name="60% - Accent6 3 3 4 3" xfId="16991" xr:uid="{00000000-0005-0000-0000-00001E3B0000}"/>
    <cellStyle name="60% - Accent6 3 3 5" xfId="3043" xr:uid="{00000000-0005-0000-0000-00001F3B0000}"/>
    <cellStyle name="60% - Accent6 3 3 5 2" xfId="16994" xr:uid="{00000000-0005-0000-0000-0000203B0000}"/>
    <cellStyle name="60% - Accent6 3 3 5 3" xfId="16993" xr:uid="{00000000-0005-0000-0000-0000213B0000}"/>
    <cellStyle name="60% - Accent6 3 3 6" xfId="3414" xr:uid="{00000000-0005-0000-0000-0000223B0000}"/>
    <cellStyle name="60% - Accent6 3 3 6 2" xfId="16996" xr:uid="{00000000-0005-0000-0000-0000233B0000}"/>
    <cellStyle name="60% - Accent6 3 3 6 3" xfId="16995" xr:uid="{00000000-0005-0000-0000-0000243B0000}"/>
    <cellStyle name="60% - Accent6 3 3 7" xfId="16997" xr:uid="{00000000-0005-0000-0000-0000253B0000}"/>
    <cellStyle name="60% - Accent6 3 3 8" xfId="16986" xr:uid="{00000000-0005-0000-0000-0000263B0000}"/>
    <cellStyle name="60% - Accent6 3 4" xfId="1729" xr:uid="{00000000-0005-0000-0000-0000273B0000}"/>
    <cellStyle name="60% - Accent6 3 4 2" xfId="1966" xr:uid="{00000000-0005-0000-0000-0000283B0000}"/>
    <cellStyle name="60% - Accent6 3 4 2 2" xfId="17000" xr:uid="{00000000-0005-0000-0000-0000293B0000}"/>
    <cellStyle name="60% - Accent6 3 4 2 3" xfId="16999" xr:uid="{00000000-0005-0000-0000-00002A3B0000}"/>
    <cellStyle name="60% - Accent6 3 4 3" xfId="2341" xr:uid="{00000000-0005-0000-0000-00002B3B0000}"/>
    <cellStyle name="60% - Accent6 3 4 3 2" xfId="17002" xr:uid="{00000000-0005-0000-0000-00002C3B0000}"/>
    <cellStyle name="60% - Accent6 3 4 3 3" xfId="17001" xr:uid="{00000000-0005-0000-0000-00002D3B0000}"/>
    <cellStyle name="60% - Accent6 3 4 4" xfId="2714" xr:uid="{00000000-0005-0000-0000-00002E3B0000}"/>
    <cellStyle name="60% - Accent6 3 4 4 2" xfId="17004" xr:uid="{00000000-0005-0000-0000-00002F3B0000}"/>
    <cellStyle name="60% - Accent6 3 4 4 3" xfId="17003" xr:uid="{00000000-0005-0000-0000-0000303B0000}"/>
    <cellStyle name="60% - Accent6 3 4 5" xfId="3087" xr:uid="{00000000-0005-0000-0000-0000313B0000}"/>
    <cellStyle name="60% - Accent6 3 4 5 2" xfId="17006" xr:uid="{00000000-0005-0000-0000-0000323B0000}"/>
    <cellStyle name="60% - Accent6 3 4 5 3" xfId="17005" xr:uid="{00000000-0005-0000-0000-0000333B0000}"/>
    <cellStyle name="60% - Accent6 3 4 6" xfId="3458" xr:uid="{00000000-0005-0000-0000-0000343B0000}"/>
    <cellStyle name="60% - Accent6 3 4 6 2" xfId="17008" xr:uid="{00000000-0005-0000-0000-0000353B0000}"/>
    <cellStyle name="60% - Accent6 3 4 6 3" xfId="17007" xr:uid="{00000000-0005-0000-0000-0000363B0000}"/>
    <cellStyle name="60% - Accent6 3 4 7" xfId="17009" xr:uid="{00000000-0005-0000-0000-0000373B0000}"/>
    <cellStyle name="60% - Accent6 3 4 8" xfId="16998" xr:uid="{00000000-0005-0000-0000-0000383B0000}"/>
    <cellStyle name="60% - Accent6 3 5" xfId="2064" xr:uid="{00000000-0005-0000-0000-0000393B0000}"/>
    <cellStyle name="60% - Accent6 3 5 2" xfId="17011" xr:uid="{00000000-0005-0000-0000-00003A3B0000}"/>
    <cellStyle name="60% - Accent6 3 5 3" xfId="17010" xr:uid="{00000000-0005-0000-0000-00003B3B0000}"/>
    <cellStyle name="60% - Accent6 3 6" xfId="2438" xr:uid="{00000000-0005-0000-0000-00003C3B0000}"/>
    <cellStyle name="60% - Accent6 3 6 2" xfId="17013" xr:uid="{00000000-0005-0000-0000-00003D3B0000}"/>
    <cellStyle name="60% - Accent6 3 6 3" xfId="17012" xr:uid="{00000000-0005-0000-0000-00003E3B0000}"/>
    <cellStyle name="60% - Accent6 3 7" xfId="2810" xr:uid="{00000000-0005-0000-0000-00003F3B0000}"/>
    <cellStyle name="60% - Accent6 3 7 2" xfId="17015" xr:uid="{00000000-0005-0000-0000-0000403B0000}"/>
    <cellStyle name="60% - Accent6 3 7 3" xfId="17014" xr:uid="{00000000-0005-0000-0000-0000413B0000}"/>
    <cellStyle name="60% - Accent6 3 8" xfId="3181" xr:uid="{00000000-0005-0000-0000-0000423B0000}"/>
    <cellStyle name="60% - Accent6 3 8 2" xfId="17017" xr:uid="{00000000-0005-0000-0000-0000433B0000}"/>
    <cellStyle name="60% - Accent6 3 8 3" xfId="17016" xr:uid="{00000000-0005-0000-0000-0000443B0000}"/>
    <cellStyle name="60% - Accent6 3 9" xfId="3556" xr:uid="{00000000-0005-0000-0000-0000453B0000}"/>
    <cellStyle name="60% - Accent6 3 9 2" xfId="17019" xr:uid="{00000000-0005-0000-0000-0000463B0000}"/>
    <cellStyle name="60% - Accent6 3 9 3" xfId="17018" xr:uid="{00000000-0005-0000-0000-0000473B0000}"/>
    <cellStyle name="60% - Accent6 4" xfId="252" xr:uid="{00000000-0005-0000-0000-0000483B0000}"/>
    <cellStyle name="60% - Accent6 4 10" xfId="3736" xr:uid="{00000000-0005-0000-0000-0000493B0000}"/>
    <cellStyle name="60% - Accent6 4 10 2" xfId="17022" xr:uid="{00000000-0005-0000-0000-00004A3B0000}"/>
    <cellStyle name="60% - Accent6 4 10 3" xfId="17021" xr:uid="{00000000-0005-0000-0000-00004B3B0000}"/>
    <cellStyle name="60% - Accent6 4 11" xfId="1316" xr:uid="{00000000-0005-0000-0000-00004C3B0000}"/>
    <cellStyle name="60% - Accent6 4 11 2" xfId="17024" xr:uid="{00000000-0005-0000-0000-00004D3B0000}"/>
    <cellStyle name="60% - Accent6 4 11 3" xfId="17023" xr:uid="{00000000-0005-0000-0000-00004E3B0000}"/>
    <cellStyle name="60% - Accent6 4 12" xfId="17025" xr:uid="{00000000-0005-0000-0000-00004F3B0000}"/>
    <cellStyle name="60% - Accent6 4 13" xfId="17020" xr:uid="{00000000-0005-0000-0000-0000503B0000}"/>
    <cellStyle name="60% - Accent6 4 2" xfId="1510" xr:uid="{00000000-0005-0000-0000-0000513B0000}"/>
    <cellStyle name="60% - Accent6 4 2 2" xfId="17027" xr:uid="{00000000-0005-0000-0000-0000523B0000}"/>
    <cellStyle name="60% - Accent6 4 2 3" xfId="17026" xr:uid="{00000000-0005-0000-0000-0000533B0000}"/>
    <cellStyle name="60% - Accent6 4 3" xfId="1635" xr:uid="{00000000-0005-0000-0000-0000543B0000}"/>
    <cellStyle name="60% - Accent6 4 3 2" xfId="17029" xr:uid="{00000000-0005-0000-0000-0000553B0000}"/>
    <cellStyle name="60% - Accent6 4 3 3" xfId="17028" xr:uid="{00000000-0005-0000-0000-0000563B0000}"/>
    <cellStyle name="60% - Accent6 4 4" xfId="1790" xr:uid="{00000000-0005-0000-0000-0000573B0000}"/>
    <cellStyle name="60% - Accent6 4 4 2" xfId="17031" xr:uid="{00000000-0005-0000-0000-0000583B0000}"/>
    <cellStyle name="60% - Accent6 4 4 3" xfId="17030" xr:uid="{00000000-0005-0000-0000-0000593B0000}"/>
    <cellStyle name="60% - Accent6 4 5" xfId="2126" xr:uid="{00000000-0005-0000-0000-00005A3B0000}"/>
    <cellStyle name="60% - Accent6 4 5 2" xfId="17033" xr:uid="{00000000-0005-0000-0000-00005B3B0000}"/>
    <cellStyle name="60% - Accent6 4 5 3" xfId="17032" xr:uid="{00000000-0005-0000-0000-00005C3B0000}"/>
    <cellStyle name="60% - Accent6 4 6" xfId="2500" xr:uid="{00000000-0005-0000-0000-00005D3B0000}"/>
    <cellStyle name="60% - Accent6 4 6 2" xfId="17035" xr:uid="{00000000-0005-0000-0000-00005E3B0000}"/>
    <cellStyle name="60% - Accent6 4 6 3" xfId="17034" xr:uid="{00000000-0005-0000-0000-00005F3B0000}"/>
    <cellStyle name="60% - Accent6 4 7" xfId="2872" xr:uid="{00000000-0005-0000-0000-0000603B0000}"/>
    <cellStyle name="60% - Accent6 4 7 2" xfId="17037" xr:uid="{00000000-0005-0000-0000-0000613B0000}"/>
    <cellStyle name="60% - Accent6 4 7 3" xfId="17036" xr:uid="{00000000-0005-0000-0000-0000623B0000}"/>
    <cellStyle name="60% - Accent6 4 8" xfId="3243" xr:uid="{00000000-0005-0000-0000-0000633B0000}"/>
    <cellStyle name="60% - Accent6 4 8 2" xfId="17039" xr:uid="{00000000-0005-0000-0000-0000643B0000}"/>
    <cellStyle name="60% - Accent6 4 8 3" xfId="17038" xr:uid="{00000000-0005-0000-0000-0000653B0000}"/>
    <cellStyle name="60% - Accent6 4 9" xfId="3599" xr:uid="{00000000-0005-0000-0000-0000663B0000}"/>
    <cellStyle name="60% - Accent6 4 9 2" xfId="17041" xr:uid="{00000000-0005-0000-0000-0000673B0000}"/>
    <cellStyle name="60% - Accent6 4 9 3" xfId="17040" xr:uid="{00000000-0005-0000-0000-0000683B0000}"/>
    <cellStyle name="60% - Accent6 5" xfId="427" xr:uid="{00000000-0005-0000-0000-0000693B0000}"/>
    <cellStyle name="60% - Accent6 5 2" xfId="1877" xr:uid="{00000000-0005-0000-0000-00006A3B0000}"/>
    <cellStyle name="60% - Accent6 5 2 2" xfId="17044" xr:uid="{00000000-0005-0000-0000-00006B3B0000}"/>
    <cellStyle name="60% - Accent6 5 2 3" xfId="17043" xr:uid="{00000000-0005-0000-0000-00006C3B0000}"/>
    <cellStyle name="60% - Accent6 5 3" xfId="2252" xr:uid="{00000000-0005-0000-0000-00006D3B0000}"/>
    <cellStyle name="60% - Accent6 5 3 2" xfId="17046" xr:uid="{00000000-0005-0000-0000-00006E3B0000}"/>
    <cellStyle name="60% - Accent6 5 3 3" xfId="17045" xr:uid="{00000000-0005-0000-0000-00006F3B0000}"/>
    <cellStyle name="60% - Accent6 5 4" xfId="2625" xr:uid="{00000000-0005-0000-0000-0000703B0000}"/>
    <cellStyle name="60% - Accent6 5 4 2" xfId="17048" xr:uid="{00000000-0005-0000-0000-0000713B0000}"/>
    <cellStyle name="60% - Accent6 5 4 3" xfId="17047" xr:uid="{00000000-0005-0000-0000-0000723B0000}"/>
    <cellStyle name="60% - Accent6 5 5" xfId="2998" xr:uid="{00000000-0005-0000-0000-0000733B0000}"/>
    <cellStyle name="60% - Accent6 5 5 2" xfId="17050" xr:uid="{00000000-0005-0000-0000-0000743B0000}"/>
    <cellStyle name="60% - Accent6 5 5 3" xfId="17049" xr:uid="{00000000-0005-0000-0000-0000753B0000}"/>
    <cellStyle name="60% - Accent6 5 6" xfId="3369" xr:uid="{00000000-0005-0000-0000-0000763B0000}"/>
    <cellStyle name="60% - Accent6 5 6 2" xfId="17052" xr:uid="{00000000-0005-0000-0000-0000773B0000}"/>
    <cellStyle name="60% - Accent6 5 6 3" xfId="17051" xr:uid="{00000000-0005-0000-0000-0000783B0000}"/>
    <cellStyle name="60% - Accent6 5 7" xfId="17053" xr:uid="{00000000-0005-0000-0000-0000793B0000}"/>
    <cellStyle name="60% - Accent6 5 7 2" xfId="17054" xr:uid="{00000000-0005-0000-0000-00007A3B0000}"/>
    <cellStyle name="60% - Accent6 5 8" xfId="17055" xr:uid="{00000000-0005-0000-0000-00007B3B0000}"/>
    <cellStyle name="60% - Accent6 5 9" xfId="17042" xr:uid="{00000000-0005-0000-0000-00007C3B0000}"/>
    <cellStyle name="60% - Accent6 6" xfId="428" xr:uid="{00000000-0005-0000-0000-00007D3B0000}"/>
    <cellStyle name="60% - Accent6 6 10" xfId="17056" xr:uid="{00000000-0005-0000-0000-00007E3B0000}"/>
    <cellStyle name="60% - Accent6 6 2" xfId="1986" xr:uid="{00000000-0005-0000-0000-00007F3B0000}"/>
    <cellStyle name="60% - Accent6 6 2 2" xfId="17058" xr:uid="{00000000-0005-0000-0000-0000803B0000}"/>
    <cellStyle name="60% - Accent6 6 2 3" xfId="17057" xr:uid="{00000000-0005-0000-0000-0000813B0000}"/>
    <cellStyle name="60% - Accent6 6 3" xfId="2361" xr:uid="{00000000-0005-0000-0000-0000823B0000}"/>
    <cellStyle name="60% - Accent6 6 3 2" xfId="17060" xr:uid="{00000000-0005-0000-0000-0000833B0000}"/>
    <cellStyle name="60% - Accent6 6 3 3" xfId="17059" xr:uid="{00000000-0005-0000-0000-0000843B0000}"/>
    <cellStyle name="60% - Accent6 6 4" xfId="2734" xr:uid="{00000000-0005-0000-0000-0000853B0000}"/>
    <cellStyle name="60% - Accent6 6 4 2" xfId="17062" xr:uid="{00000000-0005-0000-0000-0000863B0000}"/>
    <cellStyle name="60% - Accent6 6 4 3" xfId="17061" xr:uid="{00000000-0005-0000-0000-0000873B0000}"/>
    <cellStyle name="60% - Accent6 6 5" xfId="3107" xr:uid="{00000000-0005-0000-0000-0000883B0000}"/>
    <cellStyle name="60% - Accent6 6 5 2" xfId="17064" xr:uid="{00000000-0005-0000-0000-0000893B0000}"/>
    <cellStyle name="60% - Accent6 6 5 3" xfId="17063" xr:uid="{00000000-0005-0000-0000-00008A3B0000}"/>
    <cellStyle name="60% - Accent6 6 6" xfId="3478" xr:uid="{00000000-0005-0000-0000-00008B3B0000}"/>
    <cellStyle name="60% - Accent6 6 6 2" xfId="17066" xr:uid="{00000000-0005-0000-0000-00008C3B0000}"/>
    <cellStyle name="60% - Accent6 6 6 3" xfId="17065" xr:uid="{00000000-0005-0000-0000-00008D3B0000}"/>
    <cellStyle name="60% - Accent6 6 7" xfId="3784" xr:uid="{00000000-0005-0000-0000-00008E3B0000}"/>
    <cellStyle name="60% - Accent6 6 7 2" xfId="17068" xr:uid="{00000000-0005-0000-0000-00008F3B0000}"/>
    <cellStyle name="60% - Accent6 6 7 3" xfId="17067" xr:uid="{00000000-0005-0000-0000-0000903B0000}"/>
    <cellStyle name="60% - Accent6 6 8" xfId="17069" xr:uid="{00000000-0005-0000-0000-0000913B0000}"/>
    <cellStyle name="60% - Accent6 6 8 2" xfId="17070" xr:uid="{00000000-0005-0000-0000-0000923B0000}"/>
    <cellStyle name="60% - Accent6 6 9" xfId="17071" xr:uid="{00000000-0005-0000-0000-0000933B0000}"/>
    <cellStyle name="60% - Accent6 7" xfId="429" xr:uid="{00000000-0005-0000-0000-0000943B0000}"/>
    <cellStyle name="60% - Accent6 7 2" xfId="17073" xr:uid="{00000000-0005-0000-0000-0000953B0000}"/>
    <cellStyle name="60% - Accent6 7 3" xfId="17072" xr:uid="{00000000-0005-0000-0000-0000963B0000}"/>
    <cellStyle name="60% - Accent6 8" xfId="571" xr:uid="{00000000-0005-0000-0000-0000973B0000}"/>
    <cellStyle name="60% - Accent6 8 2" xfId="17075" xr:uid="{00000000-0005-0000-0000-0000983B0000}"/>
    <cellStyle name="60% - Accent6 8 3" xfId="17074" xr:uid="{00000000-0005-0000-0000-0000993B0000}"/>
    <cellStyle name="60% - Accent6 9" xfId="572" xr:uid="{00000000-0005-0000-0000-00009A3B0000}"/>
    <cellStyle name="60% - Accent6 9 2" xfId="17077" xr:uid="{00000000-0005-0000-0000-00009B3B0000}"/>
    <cellStyle name="60% - Accent6 9 3" xfId="17076" xr:uid="{00000000-0005-0000-0000-00009C3B0000}"/>
    <cellStyle name="Accent1 10" xfId="712" xr:uid="{00000000-0005-0000-0000-00009D3B0000}"/>
    <cellStyle name="Accent1 10 2" xfId="17080" xr:uid="{00000000-0005-0000-0000-00009E3B0000}"/>
    <cellStyle name="Accent1 10 3" xfId="17079" xr:uid="{00000000-0005-0000-0000-00009F3B0000}"/>
    <cellStyle name="Accent1 11" xfId="713" xr:uid="{00000000-0005-0000-0000-0000A03B0000}"/>
    <cellStyle name="Accent1 11 2" xfId="17082" xr:uid="{00000000-0005-0000-0000-0000A13B0000}"/>
    <cellStyle name="Accent1 11 3" xfId="17081" xr:uid="{00000000-0005-0000-0000-0000A23B0000}"/>
    <cellStyle name="Accent1 12" xfId="852" xr:uid="{00000000-0005-0000-0000-0000A33B0000}"/>
    <cellStyle name="Accent1 12 2" xfId="17083" xr:uid="{00000000-0005-0000-0000-0000A43B0000}"/>
    <cellStyle name="Accent1 13" xfId="853" xr:uid="{00000000-0005-0000-0000-0000A53B0000}"/>
    <cellStyle name="Accent1 13 2" xfId="17078" xr:uid="{00000000-0005-0000-0000-0000A63B0000}"/>
    <cellStyle name="Accent1 14" xfId="957" xr:uid="{00000000-0005-0000-0000-0000A73B0000}"/>
    <cellStyle name="Accent1 2" xfId="86" xr:uid="{00000000-0005-0000-0000-0000A83B0000}"/>
    <cellStyle name="Accent1 2 10" xfId="1685" xr:uid="{00000000-0005-0000-0000-0000A93B0000}"/>
    <cellStyle name="Accent1 2 10 2" xfId="17086" xr:uid="{00000000-0005-0000-0000-0000AA3B0000}"/>
    <cellStyle name="Accent1 2 10 3" xfId="17085" xr:uid="{00000000-0005-0000-0000-0000AB3B0000}"/>
    <cellStyle name="Accent1 2 11" xfId="2020" xr:uid="{00000000-0005-0000-0000-0000AC3B0000}"/>
    <cellStyle name="Accent1 2 11 2" xfId="17088" xr:uid="{00000000-0005-0000-0000-0000AD3B0000}"/>
    <cellStyle name="Accent1 2 11 3" xfId="17087" xr:uid="{00000000-0005-0000-0000-0000AE3B0000}"/>
    <cellStyle name="Accent1 2 12" xfId="2394" xr:uid="{00000000-0005-0000-0000-0000AF3B0000}"/>
    <cellStyle name="Accent1 2 12 2" xfId="17090" xr:uid="{00000000-0005-0000-0000-0000B03B0000}"/>
    <cellStyle name="Accent1 2 12 3" xfId="17089" xr:uid="{00000000-0005-0000-0000-0000B13B0000}"/>
    <cellStyle name="Accent1 2 13" xfId="2767" xr:uid="{00000000-0005-0000-0000-0000B23B0000}"/>
    <cellStyle name="Accent1 2 13 2" xfId="17092" xr:uid="{00000000-0005-0000-0000-0000B33B0000}"/>
    <cellStyle name="Accent1 2 13 3" xfId="17091" xr:uid="{00000000-0005-0000-0000-0000B43B0000}"/>
    <cellStyle name="Accent1 2 14" xfId="3141" xr:uid="{00000000-0005-0000-0000-0000B53B0000}"/>
    <cellStyle name="Accent1 2 14 2" xfId="17094" xr:uid="{00000000-0005-0000-0000-0000B63B0000}"/>
    <cellStyle name="Accent1 2 14 3" xfId="17093" xr:uid="{00000000-0005-0000-0000-0000B73B0000}"/>
    <cellStyle name="Accent1 2 15" xfId="3512" xr:uid="{00000000-0005-0000-0000-0000B83B0000}"/>
    <cellStyle name="Accent1 2 15 2" xfId="17096" xr:uid="{00000000-0005-0000-0000-0000B93B0000}"/>
    <cellStyle name="Accent1 2 15 3" xfId="17095" xr:uid="{00000000-0005-0000-0000-0000BA3B0000}"/>
    <cellStyle name="Accent1 2 16" xfId="3650" xr:uid="{00000000-0005-0000-0000-0000BB3B0000}"/>
    <cellStyle name="Accent1 2 16 2" xfId="17098" xr:uid="{00000000-0005-0000-0000-0000BC3B0000}"/>
    <cellStyle name="Accent1 2 16 3" xfId="17097" xr:uid="{00000000-0005-0000-0000-0000BD3B0000}"/>
    <cellStyle name="Accent1 2 17" xfId="17099" xr:uid="{00000000-0005-0000-0000-0000BE3B0000}"/>
    <cellStyle name="Accent1 2 17 2" xfId="17100" xr:uid="{00000000-0005-0000-0000-0000BF3B0000}"/>
    <cellStyle name="Accent1 2 18" xfId="17101" xr:uid="{00000000-0005-0000-0000-0000C03B0000}"/>
    <cellStyle name="Accent1 2 19" xfId="17084" xr:uid="{00000000-0005-0000-0000-0000C13B0000}"/>
    <cellStyle name="Accent1 2 2" xfId="130" xr:uid="{00000000-0005-0000-0000-0000C23B0000}"/>
    <cellStyle name="Accent1 2 2 2" xfId="170" xr:uid="{00000000-0005-0000-0000-0000C33B0000}"/>
    <cellStyle name="Accent1 2 2 2 2" xfId="17104" xr:uid="{00000000-0005-0000-0000-0000C43B0000}"/>
    <cellStyle name="Accent1 2 2 2 3" xfId="17103" xr:uid="{00000000-0005-0000-0000-0000C53B0000}"/>
    <cellStyle name="Accent1 2 2 3" xfId="334" xr:uid="{00000000-0005-0000-0000-0000C63B0000}"/>
    <cellStyle name="Accent1 2 2 3 2" xfId="17106" xr:uid="{00000000-0005-0000-0000-0000C73B0000}"/>
    <cellStyle name="Accent1 2 2 3 3" xfId="17105" xr:uid="{00000000-0005-0000-0000-0000C83B0000}"/>
    <cellStyle name="Accent1 2 2 4" xfId="2156" xr:uid="{00000000-0005-0000-0000-0000C93B0000}"/>
    <cellStyle name="Accent1 2 2 4 2" xfId="17108" xr:uid="{00000000-0005-0000-0000-0000CA3B0000}"/>
    <cellStyle name="Accent1 2 2 4 3" xfId="17107" xr:uid="{00000000-0005-0000-0000-0000CB3B0000}"/>
    <cellStyle name="Accent1 2 2 5" xfId="2530" xr:uid="{00000000-0005-0000-0000-0000CC3B0000}"/>
    <cellStyle name="Accent1 2 2 5 2" xfId="17110" xr:uid="{00000000-0005-0000-0000-0000CD3B0000}"/>
    <cellStyle name="Accent1 2 2 5 3" xfId="17109" xr:uid="{00000000-0005-0000-0000-0000CE3B0000}"/>
    <cellStyle name="Accent1 2 2 6" xfId="2902" xr:uid="{00000000-0005-0000-0000-0000CF3B0000}"/>
    <cellStyle name="Accent1 2 2 6 2" xfId="17112" xr:uid="{00000000-0005-0000-0000-0000D03B0000}"/>
    <cellStyle name="Accent1 2 2 6 3" xfId="17111" xr:uid="{00000000-0005-0000-0000-0000D13B0000}"/>
    <cellStyle name="Accent1 2 2 7" xfId="3274" xr:uid="{00000000-0005-0000-0000-0000D23B0000}"/>
    <cellStyle name="Accent1 2 2 7 2" xfId="17114" xr:uid="{00000000-0005-0000-0000-0000D33B0000}"/>
    <cellStyle name="Accent1 2 2 7 3" xfId="17113" xr:uid="{00000000-0005-0000-0000-0000D43B0000}"/>
    <cellStyle name="Accent1 2 2 8" xfId="17115" xr:uid="{00000000-0005-0000-0000-0000D53B0000}"/>
    <cellStyle name="Accent1 2 2 9" xfId="17102" xr:uid="{00000000-0005-0000-0000-0000D63B0000}"/>
    <cellStyle name="Accent1 2 20" xfId="24484" xr:uid="{00000000-0005-0000-0000-0000D73B0000}"/>
    <cellStyle name="Accent1 2 3" xfId="295" xr:uid="{00000000-0005-0000-0000-0000D83B0000}"/>
    <cellStyle name="Accent1 2 3 2" xfId="1332" xr:uid="{00000000-0005-0000-0000-0000D93B0000}"/>
    <cellStyle name="Accent1 2 3 2 2" xfId="17117" xr:uid="{00000000-0005-0000-0000-0000DA3B0000}"/>
    <cellStyle name="Accent1 2 3 3" xfId="17116" xr:uid="{00000000-0005-0000-0000-0000DB3B0000}"/>
    <cellStyle name="Accent1 2 4" xfId="430" xr:uid="{00000000-0005-0000-0000-0000DC3B0000}"/>
    <cellStyle name="Accent1 2 4 2" xfId="17119" xr:uid="{00000000-0005-0000-0000-0000DD3B0000}"/>
    <cellStyle name="Accent1 2 4 3" xfId="17118" xr:uid="{00000000-0005-0000-0000-0000DE3B0000}"/>
    <cellStyle name="Accent1 2 5" xfId="573" xr:uid="{00000000-0005-0000-0000-0000DF3B0000}"/>
    <cellStyle name="Accent1 2 5 2" xfId="17121" xr:uid="{00000000-0005-0000-0000-0000E03B0000}"/>
    <cellStyle name="Accent1 2 5 3" xfId="17120" xr:uid="{00000000-0005-0000-0000-0000E13B0000}"/>
    <cellStyle name="Accent1 2 6" xfId="714" xr:uid="{00000000-0005-0000-0000-0000E23B0000}"/>
    <cellStyle name="Accent1 2 6 2" xfId="17123" xr:uid="{00000000-0005-0000-0000-0000E33B0000}"/>
    <cellStyle name="Accent1 2 6 3" xfId="17122" xr:uid="{00000000-0005-0000-0000-0000E43B0000}"/>
    <cellStyle name="Accent1 2 7" xfId="715" xr:uid="{00000000-0005-0000-0000-0000E53B0000}"/>
    <cellStyle name="Accent1 2 7 2" xfId="17125" xr:uid="{00000000-0005-0000-0000-0000E63B0000}"/>
    <cellStyle name="Accent1 2 7 3" xfId="17124" xr:uid="{00000000-0005-0000-0000-0000E73B0000}"/>
    <cellStyle name="Accent1 2 8" xfId="854" xr:uid="{00000000-0005-0000-0000-0000E83B0000}"/>
    <cellStyle name="Accent1 2 8 2" xfId="1414" xr:uid="{00000000-0005-0000-0000-0000E93B0000}"/>
    <cellStyle name="Accent1 2 8 2 2" xfId="17127" xr:uid="{00000000-0005-0000-0000-0000EA3B0000}"/>
    <cellStyle name="Accent1 2 8 3" xfId="17126" xr:uid="{00000000-0005-0000-0000-0000EB3B0000}"/>
    <cellStyle name="Accent1 2 9" xfId="958" xr:uid="{00000000-0005-0000-0000-0000EC3B0000}"/>
    <cellStyle name="Accent1 2 9 2" xfId="1563" xr:uid="{00000000-0005-0000-0000-0000ED3B0000}"/>
    <cellStyle name="Accent1 2 9 2 2" xfId="17129" xr:uid="{00000000-0005-0000-0000-0000EE3B0000}"/>
    <cellStyle name="Accent1 2 9 3" xfId="17128" xr:uid="{00000000-0005-0000-0000-0000EF3B0000}"/>
    <cellStyle name="Accent1 3" xfId="211" xr:uid="{00000000-0005-0000-0000-0000F03B0000}"/>
    <cellStyle name="Accent1 3 10" xfId="3693" xr:uid="{00000000-0005-0000-0000-0000F13B0000}"/>
    <cellStyle name="Accent1 3 10 2" xfId="17132" xr:uid="{00000000-0005-0000-0000-0000F23B0000}"/>
    <cellStyle name="Accent1 3 10 3" xfId="17131" xr:uid="{00000000-0005-0000-0000-0000F33B0000}"/>
    <cellStyle name="Accent1 3 11" xfId="17133" xr:uid="{00000000-0005-0000-0000-0000F43B0000}"/>
    <cellStyle name="Accent1 3 11 2" xfId="17134" xr:uid="{00000000-0005-0000-0000-0000F53B0000}"/>
    <cellStyle name="Accent1 3 12" xfId="17135" xr:uid="{00000000-0005-0000-0000-0000F63B0000}"/>
    <cellStyle name="Accent1 3 13" xfId="17130" xr:uid="{00000000-0005-0000-0000-0000F73B0000}"/>
    <cellStyle name="Accent1 3 2" xfId="1466" xr:uid="{00000000-0005-0000-0000-0000F83B0000}"/>
    <cellStyle name="Accent1 3 2 2" xfId="1822" xr:uid="{00000000-0005-0000-0000-0000F93B0000}"/>
    <cellStyle name="Accent1 3 2 2 2" xfId="17138" xr:uid="{00000000-0005-0000-0000-0000FA3B0000}"/>
    <cellStyle name="Accent1 3 2 2 3" xfId="17137" xr:uid="{00000000-0005-0000-0000-0000FB3B0000}"/>
    <cellStyle name="Accent1 3 2 3" xfId="2197" xr:uid="{00000000-0005-0000-0000-0000FC3B0000}"/>
    <cellStyle name="Accent1 3 2 3 2" xfId="17140" xr:uid="{00000000-0005-0000-0000-0000FD3B0000}"/>
    <cellStyle name="Accent1 3 2 3 3" xfId="17139" xr:uid="{00000000-0005-0000-0000-0000FE3B0000}"/>
    <cellStyle name="Accent1 3 2 4" xfId="2571" xr:uid="{00000000-0005-0000-0000-0000FF3B0000}"/>
    <cellStyle name="Accent1 3 2 4 2" xfId="17142" xr:uid="{00000000-0005-0000-0000-0000003C0000}"/>
    <cellStyle name="Accent1 3 2 4 3" xfId="17141" xr:uid="{00000000-0005-0000-0000-0000013C0000}"/>
    <cellStyle name="Accent1 3 2 5" xfId="2943" xr:uid="{00000000-0005-0000-0000-0000023C0000}"/>
    <cellStyle name="Accent1 3 2 5 2" xfId="17144" xr:uid="{00000000-0005-0000-0000-0000033C0000}"/>
    <cellStyle name="Accent1 3 2 5 3" xfId="17143" xr:uid="{00000000-0005-0000-0000-0000043C0000}"/>
    <cellStyle name="Accent1 3 2 6" xfId="3315" xr:uid="{00000000-0005-0000-0000-0000053C0000}"/>
    <cellStyle name="Accent1 3 2 6 2" xfId="17146" xr:uid="{00000000-0005-0000-0000-0000063C0000}"/>
    <cellStyle name="Accent1 3 2 6 3" xfId="17145" xr:uid="{00000000-0005-0000-0000-0000073C0000}"/>
    <cellStyle name="Accent1 3 2 7" xfId="17147" xr:uid="{00000000-0005-0000-0000-0000083C0000}"/>
    <cellStyle name="Accent1 3 2 8" xfId="17136" xr:uid="{00000000-0005-0000-0000-0000093C0000}"/>
    <cellStyle name="Accent1 3 3" xfId="1593" xr:uid="{00000000-0005-0000-0000-00000A3C0000}"/>
    <cellStyle name="Accent1 3 3 2" xfId="1899" xr:uid="{00000000-0005-0000-0000-00000B3C0000}"/>
    <cellStyle name="Accent1 3 3 2 2" xfId="17150" xr:uid="{00000000-0005-0000-0000-00000C3C0000}"/>
    <cellStyle name="Accent1 3 3 2 3" xfId="17149" xr:uid="{00000000-0005-0000-0000-00000D3C0000}"/>
    <cellStyle name="Accent1 3 3 3" xfId="2274" xr:uid="{00000000-0005-0000-0000-00000E3C0000}"/>
    <cellStyle name="Accent1 3 3 3 2" xfId="17152" xr:uid="{00000000-0005-0000-0000-00000F3C0000}"/>
    <cellStyle name="Accent1 3 3 3 3" xfId="17151" xr:uid="{00000000-0005-0000-0000-0000103C0000}"/>
    <cellStyle name="Accent1 3 3 4" xfId="2647" xr:uid="{00000000-0005-0000-0000-0000113C0000}"/>
    <cellStyle name="Accent1 3 3 4 2" xfId="17154" xr:uid="{00000000-0005-0000-0000-0000123C0000}"/>
    <cellStyle name="Accent1 3 3 4 3" xfId="17153" xr:uid="{00000000-0005-0000-0000-0000133C0000}"/>
    <cellStyle name="Accent1 3 3 5" xfId="3020" xr:uid="{00000000-0005-0000-0000-0000143C0000}"/>
    <cellStyle name="Accent1 3 3 5 2" xfId="17156" xr:uid="{00000000-0005-0000-0000-0000153C0000}"/>
    <cellStyle name="Accent1 3 3 5 3" xfId="17155" xr:uid="{00000000-0005-0000-0000-0000163C0000}"/>
    <cellStyle name="Accent1 3 3 6" xfId="3391" xr:uid="{00000000-0005-0000-0000-0000173C0000}"/>
    <cellStyle name="Accent1 3 3 6 2" xfId="17158" xr:uid="{00000000-0005-0000-0000-0000183C0000}"/>
    <cellStyle name="Accent1 3 3 6 3" xfId="17157" xr:uid="{00000000-0005-0000-0000-0000193C0000}"/>
    <cellStyle name="Accent1 3 3 7" xfId="17159" xr:uid="{00000000-0005-0000-0000-00001A3C0000}"/>
    <cellStyle name="Accent1 3 3 8" xfId="17148" xr:uid="{00000000-0005-0000-0000-00001B3C0000}"/>
    <cellStyle name="Accent1 3 4" xfId="1730" xr:uid="{00000000-0005-0000-0000-00001C3C0000}"/>
    <cellStyle name="Accent1 3 4 2" xfId="1943" xr:uid="{00000000-0005-0000-0000-00001D3C0000}"/>
    <cellStyle name="Accent1 3 4 2 2" xfId="17162" xr:uid="{00000000-0005-0000-0000-00001E3C0000}"/>
    <cellStyle name="Accent1 3 4 2 3" xfId="17161" xr:uid="{00000000-0005-0000-0000-00001F3C0000}"/>
    <cellStyle name="Accent1 3 4 3" xfId="2318" xr:uid="{00000000-0005-0000-0000-0000203C0000}"/>
    <cellStyle name="Accent1 3 4 3 2" xfId="17164" xr:uid="{00000000-0005-0000-0000-0000213C0000}"/>
    <cellStyle name="Accent1 3 4 3 3" xfId="17163" xr:uid="{00000000-0005-0000-0000-0000223C0000}"/>
    <cellStyle name="Accent1 3 4 4" xfId="2691" xr:uid="{00000000-0005-0000-0000-0000233C0000}"/>
    <cellStyle name="Accent1 3 4 4 2" xfId="17166" xr:uid="{00000000-0005-0000-0000-0000243C0000}"/>
    <cellStyle name="Accent1 3 4 4 3" xfId="17165" xr:uid="{00000000-0005-0000-0000-0000253C0000}"/>
    <cellStyle name="Accent1 3 4 5" xfId="3064" xr:uid="{00000000-0005-0000-0000-0000263C0000}"/>
    <cellStyle name="Accent1 3 4 5 2" xfId="17168" xr:uid="{00000000-0005-0000-0000-0000273C0000}"/>
    <cellStyle name="Accent1 3 4 5 3" xfId="17167" xr:uid="{00000000-0005-0000-0000-0000283C0000}"/>
    <cellStyle name="Accent1 3 4 6" xfId="3435" xr:uid="{00000000-0005-0000-0000-0000293C0000}"/>
    <cellStyle name="Accent1 3 4 6 2" xfId="17170" xr:uid="{00000000-0005-0000-0000-00002A3C0000}"/>
    <cellStyle name="Accent1 3 4 6 3" xfId="17169" xr:uid="{00000000-0005-0000-0000-00002B3C0000}"/>
    <cellStyle name="Accent1 3 4 7" xfId="17171" xr:uid="{00000000-0005-0000-0000-00002C3C0000}"/>
    <cellStyle name="Accent1 3 4 8" xfId="17160" xr:uid="{00000000-0005-0000-0000-00002D3C0000}"/>
    <cellStyle name="Accent1 3 5" xfId="2065" xr:uid="{00000000-0005-0000-0000-00002E3C0000}"/>
    <cellStyle name="Accent1 3 5 2" xfId="17173" xr:uid="{00000000-0005-0000-0000-00002F3C0000}"/>
    <cellStyle name="Accent1 3 5 3" xfId="17172" xr:uid="{00000000-0005-0000-0000-0000303C0000}"/>
    <cellStyle name="Accent1 3 6" xfId="2439" xr:uid="{00000000-0005-0000-0000-0000313C0000}"/>
    <cellStyle name="Accent1 3 6 2" xfId="17175" xr:uid="{00000000-0005-0000-0000-0000323C0000}"/>
    <cellStyle name="Accent1 3 6 3" xfId="17174" xr:uid="{00000000-0005-0000-0000-0000333C0000}"/>
    <cellStyle name="Accent1 3 7" xfId="2811" xr:uid="{00000000-0005-0000-0000-0000343C0000}"/>
    <cellStyle name="Accent1 3 7 2" xfId="17177" xr:uid="{00000000-0005-0000-0000-0000353C0000}"/>
    <cellStyle name="Accent1 3 7 3" xfId="17176" xr:uid="{00000000-0005-0000-0000-0000363C0000}"/>
    <cellStyle name="Accent1 3 8" xfId="3182" xr:uid="{00000000-0005-0000-0000-0000373C0000}"/>
    <cellStyle name="Accent1 3 8 2" xfId="17179" xr:uid="{00000000-0005-0000-0000-0000383C0000}"/>
    <cellStyle name="Accent1 3 8 3" xfId="17178" xr:uid="{00000000-0005-0000-0000-0000393C0000}"/>
    <cellStyle name="Accent1 3 9" xfId="3557" xr:uid="{00000000-0005-0000-0000-00003A3C0000}"/>
    <cellStyle name="Accent1 3 9 2" xfId="17181" xr:uid="{00000000-0005-0000-0000-00003B3C0000}"/>
    <cellStyle name="Accent1 3 9 3" xfId="17180" xr:uid="{00000000-0005-0000-0000-00003C3C0000}"/>
    <cellStyle name="Accent1 4" xfId="253" xr:uid="{00000000-0005-0000-0000-00003D3C0000}"/>
    <cellStyle name="Accent1 4 10" xfId="3737" xr:uid="{00000000-0005-0000-0000-00003E3C0000}"/>
    <cellStyle name="Accent1 4 10 2" xfId="17184" xr:uid="{00000000-0005-0000-0000-00003F3C0000}"/>
    <cellStyle name="Accent1 4 10 3" xfId="17183" xr:uid="{00000000-0005-0000-0000-0000403C0000}"/>
    <cellStyle name="Accent1 4 11" xfId="1293" xr:uid="{00000000-0005-0000-0000-0000413C0000}"/>
    <cellStyle name="Accent1 4 11 2" xfId="17186" xr:uid="{00000000-0005-0000-0000-0000423C0000}"/>
    <cellStyle name="Accent1 4 11 3" xfId="17185" xr:uid="{00000000-0005-0000-0000-0000433C0000}"/>
    <cellStyle name="Accent1 4 12" xfId="17187" xr:uid="{00000000-0005-0000-0000-0000443C0000}"/>
    <cellStyle name="Accent1 4 13" xfId="17182" xr:uid="{00000000-0005-0000-0000-0000453C0000}"/>
    <cellStyle name="Accent1 4 2" xfId="1511" xr:uid="{00000000-0005-0000-0000-0000463C0000}"/>
    <cellStyle name="Accent1 4 2 2" xfId="17189" xr:uid="{00000000-0005-0000-0000-0000473C0000}"/>
    <cellStyle name="Accent1 4 2 3" xfId="17188" xr:uid="{00000000-0005-0000-0000-0000483C0000}"/>
    <cellStyle name="Accent1 4 3" xfId="1636" xr:uid="{00000000-0005-0000-0000-0000493C0000}"/>
    <cellStyle name="Accent1 4 3 2" xfId="17191" xr:uid="{00000000-0005-0000-0000-00004A3C0000}"/>
    <cellStyle name="Accent1 4 3 3" xfId="17190" xr:uid="{00000000-0005-0000-0000-00004B3C0000}"/>
    <cellStyle name="Accent1 4 4" xfId="1789" xr:uid="{00000000-0005-0000-0000-00004C3C0000}"/>
    <cellStyle name="Accent1 4 4 2" xfId="17193" xr:uid="{00000000-0005-0000-0000-00004D3C0000}"/>
    <cellStyle name="Accent1 4 4 3" xfId="17192" xr:uid="{00000000-0005-0000-0000-00004E3C0000}"/>
    <cellStyle name="Accent1 4 5" xfId="2125" xr:uid="{00000000-0005-0000-0000-00004F3C0000}"/>
    <cellStyle name="Accent1 4 5 2" xfId="17195" xr:uid="{00000000-0005-0000-0000-0000503C0000}"/>
    <cellStyle name="Accent1 4 5 3" xfId="17194" xr:uid="{00000000-0005-0000-0000-0000513C0000}"/>
    <cellStyle name="Accent1 4 6" xfId="2499" xr:uid="{00000000-0005-0000-0000-0000523C0000}"/>
    <cellStyle name="Accent1 4 6 2" xfId="17197" xr:uid="{00000000-0005-0000-0000-0000533C0000}"/>
    <cellStyle name="Accent1 4 6 3" xfId="17196" xr:uid="{00000000-0005-0000-0000-0000543C0000}"/>
    <cellStyle name="Accent1 4 7" xfId="2871" xr:uid="{00000000-0005-0000-0000-0000553C0000}"/>
    <cellStyle name="Accent1 4 7 2" xfId="17199" xr:uid="{00000000-0005-0000-0000-0000563C0000}"/>
    <cellStyle name="Accent1 4 7 3" xfId="17198" xr:uid="{00000000-0005-0000-0000-0000573C0000}"/>
    <cellStyle name="Accent1 4 8" xfId="3242" xr:uid="{00000000-0005-0000-0000-0000583C0000}"/>
    <cellStyle name="Accent1 4 8 2" xfId="17201" xr:uid="{00000000-0005-0000-0000-0000593C0000}"/>
    <cellStyle name="Accent1 4 8 3" xfId="17200" xr:uid="{00000000-0005-0000-0000-00005A3C0000}"/>
    <cellStyle name="Accent1 4 9" xfId="3600" xr:uid="{00000000-0005-0000-0000-00005B3C0000}"/>
    <cellStyle name="Accent1 4 9 2" xfId="17203" xr:uid="{00000000-0005-0000-0000-00005C3C0000}"/>
    <cellStyle name="Accent1 4 9 3" xfId="17202" xr:uid="{00000000-0005-0000-0000-00005D3C0000}"/>
    <cellStyle name="Accent1 5" xfId="431" xr:uid="{00000000-0005-0000-0000-00005E3C0000}"/>
    <cellStyle name="Accent1 5 2" xfId="1857" xr:uid="{00000000-0005-0000-0000-00005F3C0000}"/>
    <cellStyle name="Accent1 5 2 2" xfId="17206" xr:uid="{00000000-0005-0000-0000-0000603C0000}"/>
    <cellStyle name="Accent1 5 2 3" xfId="17205" xr:uid="{00000000-0005-0000-0000-0000613C0000}"/>
    <cellStyle name="Accent1 5 3" xfId="2232" xr:uid="{00000000-0005-0000-0000-0000623C0000}"/>
    <cellStyle name="Accent1 5 3 2" xfId="17208" xr:uid="{00000000-0005-0000-0000-0000633C0000}"/>
    <cellStyle name="Accent1 5 3 3" xfId="17207" xr:uid="{00000000-0005-0000-0000-0000643C0000}"/>
    <cellStyle name="Accent1 5 4" xfId="2606" xr:uid="{00000000-0005-0000-0000-0000653C0000}"/>
    <cellStyle name="Accent1 5 4 2" xfId="17210" xr:uid="{00000000-0005-0000-0000-0000663C0000}"/>
    <cellStyle name="Accent1 5 4 3" xfId="17209" xr:uid="{00000000-0005-0000-0000-0000673C0000}"/>
    <cellStyle name="Accent1 5 5" xfId="2978" xr:uid="{00000000-0005-0000-0000-0000683C0000}"/>
    <cellStyle name="Accent1 5 5 2" xfId="17212" xr:uid="{00000000-0005-0000-0000-0000693C0000}"/>
    <cellStyle name="Accent1 5 5 3" xfId="17211" xr:uid="{00000000-0005-0000-0000-00006A3C0000}"/>
    <cellStyle name="Accent1 5 6" xfId="3350" xr:uid="{00000000-0005-0000-0000-00006B3C0000}"/>
    <cellStyle name="Accent1 5 6 2" xfId="17214" xr:uid="{00000000-0005-0000-0000-00006C3C0000}"/>
    <cellStyle name="Accent1 5 6 3" xfId="17213" xr:uid="{00000000-0005-0000-0000-00006D3C0000}"/>
    <cellStyle name="Accent1 5 7" xfId="17215" xr:uid="{00000000-0005-0000-0000-00006E3C0000}"/>
    <cellStyle name="Accent1 5 7 2" xfId="17216" xr:uid="{00000000-0005-0000-0000-00006F3C0000}"/>
    <cellStyle name="Accent1 5 8" xfId="17217" xr:uid="{00000000-0005-0000-0000-0000703C0000}"/>
    <cellStyle name="Accent1 5 9" xfId="17204" xr:uid="{00000000-0005-0000-0000-0000713C0000}"/>
    <cellStyle name="Accent1 6" xfId="432" xr:uid="{00000000-0005-0000-0000-0000723C0000}"/>
    <cellStyle name="Accent1 6 10" xfId="17218" xr:uid="{00000000-0005-0000-0000-0000733C0000}"/>
    <cellStyle name="Accent1 6 2" xfId="1987" xr:uid="{00000000-0005-0000-0000-0000743C0000}"/>
    <cellStyle name="Accent1 6 2 2" xfId="17220" xr:uid="{00000000-0005-0000-0000-0000753C0000}"/>
    <cellStyle name="Accent1 6 2 3" xfId="17219" xr:uid="{00000000-0005-0000-0000-0000763C0000}"/>
    <cellStyle name="Accent1 6 3" xfId="2362" xr:uid="{00000000-0005-0000-0000-0000773C0000}"/>
    <cellStyle name="Accent1 6 3 2" xfId="17222" xr:uid="{00000000-0005-0000-0000-0000783C0000}"/>
    <cellStyle name="Accent1 6 3 3" xfId="17221" xr:uid="{00000000-0005-0000-0000-0000793C0000}"/>
    <cellStyle name="Accent1 6 4" xfId="2735" xr:uid="{00000000-0005-0000-0000-00007A3C0000}"/>
    <cellStyle name="Accent1 6 4 2" xfId="17224" xr:uid="{00000000-0005-0000-0000-00007B3C0000}"/>
    <cellStyle name="Accent1 6 4 3" xfId="17223" xr:uid="{00000000-0005-0000-0000-00007C3C0000}"/>
    <cellStyle name="Accent1 6 5" xfId="3108" xr:uid="{00000000-0005-0000-0000-00007D3C0000}"/>
    <cellStyle name="Accent1 6 5 2" xfId="17226" xr:uid="{00000000-0005-0000-0000-00007E3C0000}"/>
    <cellStyle name="Accent1 6 5 3" xfId="17225" xr:uid="{00000000-0005-0000-0000-00007F3C0000}"/>
    <cellStyle name="Accent1 6 6" xfId="3479" xr:uid="{00000000-0005-0000-0000-0000803C0000}"/>
    <cellStyle name="Accent1 6 6 2" xfId="17228" xr:uid="{00000000-0005-0000-0000-0000813C0000}"/>
    <cellStyle name="Accent1 6 6 3" xfId="17227" xr:uid="{00000000-0005-0000-0000-0000823C0000}"/>
    <cellStyle name="Accent1 6 7" xfId="3785" xr:uid="{00000000-0005-0000-0000-0000833C0000}"/>
    <cellStyle name="Accent1 6 7 2" xfId="17230" xr:uid="{00000000-0005-0000-0000-0000843C0000}"/>
    <cellStyle name="Accent1 6 7 3" xfId="17229" xr:uid="{00000000-0005-0000-0000-0000853C0000}"/>
    <cellStyle name="Accent1 6 8" xfId="17231" xr:uid="{00000000-0005-0000-0000-0000863C0000}"/>
    <cellStyle name="Accent1 6 8 2" xfId="17232" xr:uid="{00000000-0005-0000-0000-0000873C0000}"/>
    <cellStyle name="Accent1 6 9" xfId="17233" xr:uid="{00000000-0005-0000-0000-0000883C0000}"/>
    <cellStyle name="Accent1 7" xfId="433" xr:uid="{00000000-0005-0000-0000-0000893C0000}"/>
    <cellStyle name="Accent1 7 2" xfId="17235" xr:uid="{00000000-0005-0000-0000-00008A3C0000}"/>
    <cellStyle name="Accent1 7 3" xfId="17234" xr:uid="{00000000-0005-0000-0000-00008B3C0000}"/>
    <cellStyle name="Accent1 8" xfId="574" xr:uid="{00000000-0005-0000-0000-00008C3C0000}"/>
    <cellStyle name="Accent1 8 2" xfId="17237" xr:uid="{00000000-0005-0000-0000-00008D3C0000}"/>
    <cellStyle name="Accent1 8 3" xfId="17236" xr:uid="{00000000-0005-0000-0000-00008E3C0000}"/>
    <cellStyle name="Accent1 9" xfId="575" xr:uid="{00000000-0005-0000-0000-00008F3C0000}"/>
    <cellStyle name="Accent1 9 2" xfId="17239" xr:uid="{00000000-0005-0000-0000-0000903C0000}"/>
    <cellStyle name="Accent1 9 3" xfId="17238" xr:uid="{00000000-0005-0000-0000-0000913C0000}"/>
    <cellStyle name="Accent2 10" xfId="716" xr:uid="{00000000-0005-0000-0000-0000923C0000}"/>
    <cellStyle name="Accent2 10 2" xfId="17242" xr:uid="{00000000-0005-0000-0000-0000933C0000}"/>
    <cellStyle name="Accent2 10 3" xfId="17241" xr:uid="{00000000-0005-0000-0000-0000943C0000}"/>
    <cellStyle name="Accent2 11" xfId="717" xr:uid="{00000000-0005-0000-0000-0000953C0000}"/>
    <cellStyle name="Accent2 11 2" xfId="17244" xr:uid="{00000000-0005-0000-0000-0000963C0000}"/>
    <cellStyle name="Accent2 11 3" xfId="17243" xr:uid="{00000000-0005-0000-0000-0000973C0000}"/>
    <cellStyle name="Accent2 12" xfId="855" xr:uid="{00000000-0005-0000-0000-0000983C0000}"/>
    <cellStyle name="Accent2 12 2" xfId="17245" xr:uid="{00000000-0005-0000-0000-0000993C0000}"/>
    <cellStyle name="Accent2 13" xfId="856" xr:uid="{00000000-0005-0000-0000-00009A3C0000}"/>
    <cellStyle name="Accent2 13 2" xfId="17240" xr:uid="{00000000-0005-0000-0000-00009B3C0000}"/>
    <cellStyle name="Accent2 14" xfId="959" xr:uid="{00000000-0005-0000-0000-00009C3C0000}"/>
    <cellStyle name="Accent2 2" xfId="87" xr:uid="{00000000-0005-0000-0000-00009D3C0000}"/>
    <cellStyle name="Accent2 2 10" xfId="1686" xr:uid="{00000000-0005-0000-0000-00009E3C0000}"/>
    <cellStyle name="Accent2 2 10 2" xfId="17248" xr:uid="{00000000-0005-0000-0000-00009F3C0000}"/>
    <cellStyle name="Accent2 2 10 3" xfId="17247" xr:uid="{00000000-0005-0000-0000-0000A03C0000}"/>
    <cellStyle name="Accent2 2 11" xfId="2021" xr:uid="{00000000-0005-0000-0000-0000A13C0000}"/>
    <cellStyle name="Accent2 2 11 2" xfId="17250" xr:uid="{00000000-0005-0000-0000-0000A23C0000}"/>
    <cellStyle name="Accent2 2 11 3" xfId="17249" xr:uid="{00000000-0005-0000-0000-0000A33C0000}"/>
    <cellStyle name="Accent2 2 12" xfId="2395" xr:uid="{00000000-0005-0000-0000-0000A43C0000}"/>
    <cellStyle name="Accent2 2 12 2" xfId="17252" xr:uid="{00000000-0005-0000-0000-0000A53C0000}"/>
    <cellStyle name="Accent2 2 12 3" xfId="17251" xr:uid="{00000000-0005-0000-0000-0000A63C0000}"/>
    <cellStyle name="Accent2 2 13" xfId="2768" xr:uid="{00000000-0005-0000-0000-0000A73C0000}"/>
    <cellStyle name="Accent2 2 13 2" xfId="17254" xr:uid="{00000000-0005-0000-0000-0000A83C0000}"/>
    <cellStyle name="Accent2 2 13 3" xfId="17253" xr:uid="{00000000-0005-0000-0000-0000A93C0000}"/>
    <cellStyle name="Accent2 2 14" xfId="3142" xr:uid="{00000000-0005-0000-0000-0000AA3C0000}"/>
    <cellStyle name="Accent2 2 14 2" xfId="17256" xr:uid="{00000000-0005-0000-0000-0000AB3C0000}"/>
    <cellStyle name="Accent2 2 14 3" xfId="17255" xr:uid="{00000000-0005-0000-0000-0000AC3C0000}"/>
    <cellStyle name="Accent2 2 15" xfId="3513" xr:uid="{00000000-0005-0000-0000-0000AD3C0000}"/>
    <cellStyle name="Accent2 2 15 2" xfId="17258" xr:uid="{00000000-0005-0000-0000-0000AE3C0000}"/>
    <cellStyle name="Accent2 2 15 3" xfId="17257" xr:uid="{00000000-0005-0000-0000-0000AF3C0000}"/>
    <cellStyle name="Accent2 2 16" xfId="3651" xr:uid="{00000000-0005-0000-0000-0000B03C0000}"/>
    <cellStyle name="Accent2 2 16 2" xfId="17260" xr:uid="{00000000-0005-0000-0000-0000B13C0000}"/>
    <cellStyle name="Accent2 2 16 3" xfId="17259" xr:uid="{00000000-0005-0000-0000-0000B23C0000}"/>
    <cellStyle name="Accent2 2 17" xfId="17261" xr:uid="{00000000-0005-0000-0000-0000B33C0000}"/>
    <cellStyle name="Accent2 2 17 2" xfId="17262" xr:uid="{00000000-0005-0000-0000-0000B43C0000}"/>
    <cellStyle name="Accent2 2 18" xfId="17263" xr:uid="{00000000-0005-0000-0000-0000B53C0000}"/>
    <cellStyle name="Accent2 2 19" xfId="17246" xr:uid="{00000000-0005-0000-0000-0000B63C0000}"/>
    <cellStyle name="Accent2 2 2" xfId="131" xr:uid="{00000000-0005-0000-0000-0000B73C0000}"/>
    <cellStyle name="Accent2 2 2 2" xfId="174" xr:uid="{00000000-0005-0000-0000-0000B83C0000}"/>
    <cellStyle name="Accent2 2 2 2 2" xfId="17266" xr:uid="{00000000-0005-0000-0000-0000B93C0000}"/>
    <cellStyle name="Accent2 2 2 2 3" xfId="17265" xr:uid="{00000000-0005-0000-0000-0000BA3C0000}"/>
    <cellStyle name="Accent2 2 2 3" xfId="338" xr:uid="{00000000-0005-0000-0000-0000BB3C0000}"/>
    <cellStyle name="Accent2 2 2 3 2" xfId="17268" xr:uid="{00000000-0005-0000-0000-0000BC3C0000}"/>
    <cellStyle name="Accent2 2 2 3 3" xfId="17267" xr:uid="{00000000-0005-0000-0000-0000BD3C0000}"/>
    <cellStyle name="Accent2 2 2 4" xfId="2160" xr:uid="{00000000-0005-0000-0000-0000BE3C0000}"/>
    <cellStyle name="Accent2 2 2 4 2" xfId="17270" xr:uid="{00000000-0005-0000-0000-0000BF3C0000}"/>
    <cellStyle name="Accent2 2 2 4 3" xfId="17269" xr:uid="{00000000-0005-0000-0000-0000C03C0000}"/>
    <cellStyle name="Accent2 2 2 5" xfId="2534" xr:uid="{00000000-0005-0000-0000-0000C13C0000}"/>
    <cellStyle name="Accent2 2 2 5 2" xfId="17272" xr:uid="{00000000-0005-0000-0000-0000C23C0000}"/>
    <cellStyle name="Accent2 2 2 5 3" xfId="17271" xr:uid="{00000000-0005-0000-0000-0000C33C0000}"/>
    <cellStyle name="Accent2 2 2 6" xfId="2906" xr:uid="{00000000-0005-0000-0000-0000C43C0000}"/>
    <cellStyle name="Accent2 2 2 6 2" xfId="17274" xr:uid="{00000000-0005-0000-0000-0000C53C0000}"/>
    <cellStyle name="Accent2 2 2 6 3" xfId="17273" xr:uid="{00000000-0005-0000-0000-0000C63C0000}"/>
    <cellStyle name="Accent2 2 2 7" xfId="3278" xr:uid="{00000000-0005-0000-0000-0000C73C0000}"/>
    <cellStyle name="Accent2 2 2 7 2" xfId="17276" xr:uid="{00000000-0005-0000-0000-0000C83C0000}"/>
    <cellStyle name="Accent2 2 2 7 3" xfId="17275" xr:uid="{00000000-0005-0000-0000-0000C93C0000}"/>
    <cellStyle name="Accent2 2 2 8" xfId="17277" xr:uid="{00000000-0005-0000-0000-0000CA3C0000}"/>
    <cellStyle name="Accent2 2 2 9" xfId="17264" xr:uid="{00000000-0005-0000-0000-0000CB3C0000}"/>
    <cellStyle name="Accent2 2 20" xfId="24485" xr:uid="{00000000-0005-0000-0000-0000CC3C0000}"/>
    <cellStyle name="Accent2 2 3" xfId="296" xr:uid="{00000000-0005-0000-0000-0000CD3C0000}"/>
    <cellStyle name="Accent2 2 3 2" xfId="1336" xr:uid="{00000000-0005-0000-0000-0000CE3C0000}"/>
    <cellStyle name="Accent2 2 3 2 2" xfId="17279" xr:uid="{00000000-0005-0000-0000-0000CF3C0000}"/>
    <cellStyle name="Accent2 2 3 3" xfId="17278" xr:uid="{00000000-0005-0000-0000-0000D03C0000}"/>
    <cellStyle name="Accent2 2 4" xfId="434" xr:uid="{00000000-0005-0000-0000-0000D13C0000}"/>
    <cellStyle name="Accent2 2 4 2" xfId="17281" xr:uid="{00000000-0005-0000-0000-0000D23C0000}"/>
    <cellStyle name="Accent2 2 4 3" xfId="17280" xr:uid="{00000000-0005-0000-0000-0000D33C0000}"/>
    <cellStyle name="Accent2 2 5" xfId="576" xr:uid="{00000000-0005-0000-0000-0000D43C0000}"/>
    <cellStyle name="Accent2 2 5 2" xfId="17283" xr:uid="{00000000-0005-0000-0000-0000D53C0000}"/>
    <cellStyle name="Accent2 2 5 3" xfId="17282" xr:uid="{00000000-0005-0000-0000-0000D63C0000}"/>
    <cellStyle name="Accent2 2 6" xfId="718" xr:uid="{00000000-0005-0000-0000-0000D73C0000}"/>
    <cellStyle name="Accent2 2 6 2" xfId="17285" xr:uid="{00000000-0005-0000-0000-0000D83C0000}"/>
    <cellStyle name="Accent2 2 6 3" xfId="17284" xr:uid="{00000000-0005-0000-0000-0000D93C0000}"/>
    <cellStyle name="Accent2 2 7" xfId="719" xr:uid="{00000000-0005-0000-0000-0000DA3C0000}"/>
    <cellStyle name="Accent2 2 7 2" xfId="17287" xr:uid="{00000000-0005-0000-0000-0000DB3C0000}"/>
    <cellStyle name="Accent2 2 7 3" xfId="17286" xr:uid="{00000000-0005-0000-0000-0000DC3C0000}"/>
    <cellStyle name="Accent2 2 8" xfId="857" xr:uid="{00000000-0005-0000-0000-0000DD3C0000}"/>
    <cellStyle name="Accent2 2 8 2" xfId="1415" xr:uid="{00000000-0005-0000-0000-0000DE3C0000}"/>
    <cellStyle name="Accent2 2 8 2 2" xfId="17289" xr:uid="{00000000-0005-0000-0000-0000DF3C0000}"/>
    <cellStyle name="Accent2 2 8 3" xfId="17288" xr:uid="{00000000-0005-0000-0000-0000E03C0000}"/>
    <cellStyle name="Accent2 2 9" xfId="960" xr:uid="{00000000-0005-0000-0000-0000E13C0000}"/>
    <cellStyle name="Accent2 2 9 2" xfId="1562" xr:uid="{00000000-0005-0000-0000-0000E23C0000}"/>
    <cellStyle name="Accent2 2 9 2 2" xfId="17291" xr:uid="{00000000-0005-0000-0000-0000E33C0000}"/>
    <cellStyle name="Accent2 2 9 3" xfId="17290" xr:uid="{00000000-0005-0000-0000-0000E43C0000}"/>
    <cellStyle name="Accent2 3" xfId="215" xr:uid="{00000000-0005-0000-0000-0000E53C0000}"/>
    <cellStyle name="Accent2 3 10" xfId="3694" xr:uid="{00000000-0005-0000-0000-0000E63C0000}"/>
    <cellStyle name="Accent2 3 10 2" xfId="17294" xr:uid="{00000000-0005-0000-0000-0000E73C0000}"/>
    <cellStyle name="Accent2 3 10 3" xfId="17293" xr:uid="{00000000-0005-0000-0000-0000E83C0000}"/>
    <cellStyle name="Accent2 3 11" xfId="17295" xr:uid="{00000000-0005-0000-0000-0000E93C0000}"/>
    <cellStyle name="Accent2 3 11 2" xfId="17296" xr:uid="{00000000-0005-0000-0000-0000EA3C0000}"/>
    <cellStyle name="Accent2 3 12" xfId="17297" xr:uid="{00000000-0005-0000-0000-0000EB3C0000}"/>
    <cellStyle name="Accent2 3 13" xfId="17292" xr:uid="{00000000-0005-0000-0000-0000EC3C0000}"/>
    <cellStyle name="Accent2 3 2" xfId="1467" xr:uid="{00000000-0005-0000-0000-0000ED3C0000}"/>
    <cellStyle name="Accent2 3 2 2" xfId="1826" xr:uid="{00000000-0005-0000-0000-0000EE3C0000}"/>
    <cellStyle name="Accent2 3 2 2 2" xfId="17300" xr:uid="{00000000-0005-0000-0000-0000EF3C0000}"/>
    <cellStyle name="Accent2 3 2 2 3" xfId="17299" xr:uid="{00000000-0005-0000-0000-0000F03C0000}"/>
    <cellStyle name="Accent2 3 2 3" xfId="2201" xr:uid="{00000000-0005-0000-0000-0000F13C0000}"/>
    <cellStyle name="Accent2 3 2 3 2" xfId="17302" xr:uid="{00000000-0005-0000-0000-0000F23C0000}"/>
    <cellStyle name="Accent2 3 2 3 3" xfId="17301" xr:uid="{00000000-0005-0000-0000-0000F33C0000}"/>
    <cellStyle name="Accent2 3 2 4" xfId="2575" xr:uid="{00000000-0005-0000-0000-0000F43C0000}"/>
    <cellStyle name="Accent2 3 2 4 2" xfId="17304" xr:uid="{00000000-0005-0000-0000-0000F53C0000}"/>
    <cellStyle name="Accent2 3 2 4 3" xfId="17303" xr:uid="{00000000-0005-0000-0000-0000F63C0000}"/>
    <cellStyle name="Accent2 3 2 5" xfId="2947" xr:uid="{00000000-0005-0000-0000-0000F73C0000}"/>
    <cellStyle name="Accent2 3 2 5 2" xfId="17306" xr:uid="{00000000-0005-0000-0000-0000F83C0000}"/>
    <cellStyle name="Accent2 3 2 5 3" xfId="17305" xr:uid="{00000000-0005-0000-0000-0000F93C0000}"/>
    <cellStyle name="Accent2 3 2 6" xfId="3319" xr:uid="{00000000-0005-0000-0000-0000FA3C0000}"/>
    <cellStyle name="Accent2 3 2 6 2" xfId="17308" xr:uid="{00000000-0005-0000-0000-0000FB3C0000}"/>
    <cellStyle name="Accent2 3 2 6 3" xfId="17307" xr:uid="{00000000-0005-0000-0000-0000FC3C0000}"/>
    <cellStyle name="Accent2 3 2 7" xfId="17309" xr:uid="{00000000-0005-0000-0000-0000FD3C0000}"/>
    <cellStyle name="Accent2 3 2 8" xfId="17298" xr:uid="{00000000-0005-0000-0000-0000FE3C0000}"/>
    <cellStyle name="Accent2 3 3" xfId="1594" xr:uid="{00000000-0005-0000-0000-0000FF3C0000}"/>
    <cellStyle name="Accent2 3 3 2" xfId="1903" xr:uid="{00000000-0005-0000-0000-0000003D0000}"/>
    <cellStyle name="Accent2 3 3 2 2" xfId="17312" xr:uid="{00000000-0005-0000-0000-0000013D0000}"/>
    <cellStyle name="Accent2 3 3 2 3" xfId="17311" xr:uid="{00000000-0005-0000-0000-0000023D0000}"/>
    <cellStyle name="Accent2 3 3 3" xfId="2278" xr:uid="{00000000-0005-0000-0000-0000033D0000}"/>
    <cellStyle name="Accent2 3 3 3 2" xfId="17314" xr:uid="{00000000-0005-0000-0000-0000043D0000}"/>
    <cellStyle name="Accent2 3 3 3 3" xfId="17313" xr:uid="{00000000-0005-0000-0000-0000053D0000}"/>
    <cellStyle name="Accent2 3 3 4" xfId="2651" xr:uid="{00000000-0005-0000-0000-0000063D0000}"/>
    <cellStyle name="Accent2 3 3 4 2" xfId="17316" xr:uid="{00000000-0005-0000-0000-0000073D0000}"/>
    <cellStyle name="Accent2 3 3 4 3" xfId="17315" xr:uid="{00000000-0005-0000-0000-0000083D0000}"/>
    <cellStyle name="Accent2 3 3 5" xfId="3024" xr:uid="{00000000-0005-0000-0000-0000093D0000}"/>
    <cellStyle name="Accent2 3 3 5 2" xfId="17318" xr:uid="{00000000-0005-0000-0000-00000A3D0000}"/>
    <cellStyle name="Accent2 3 3 5 3" xfId="17317" xr:uid="{00000000-0005-0000-0000-00000B3D0000}"/>
    <cellStyle name="Accent2 3 3 6" xfId="3395" xr:uid="{00000000-0005-0000-0000-00000C3D0000}"/>
    <cellStyle name="Accent2 3 3 6 2" xfId="17320" xr:uid="{00000000-0005-0000-0000-00000D3D0000}"/>
    <cellStyle name="Accent2 3 3 6 3" xfId="17319" xr:uid="{00000000-0005-0000-0000-00000E3D0000}"/>
    <cellStyle name="Accent2 3 3 7" xfId="17321" xr:uid="{00000000-0005-0000-0000-00000F3D0000}"/>
    <cellStyle name="Accent2 3 3 8" xfId="17310" xr:uid="{00000000-0005-0000-0000-0000103D0000}"/>
    <cellStyle name="Accent2 3 4" xfId="1731" xr:uid="{00000000-0005-0000-0000-0000113D0000}"/>
    <cellStyle name="Accent2 3 4 2" xfId="1947" xr:uid="{00000000-0005-0000-0000-0000123D0000}"/>
    <cellStyle name="Accent2 3 4 2 2" xfId="17324" xr:uid="{00000000-0005-0000-0000-0000133D0000}"/>
    <cellStyle name="Accent2 3 4 2 3" xfId="17323" xr:uid="{00000000-0005-0000-0000-0000143D0000}"/>
    <cellStyle name="Accent2 3 4 3" xfId="2322" xr:uid="{00000000-0005-0000-0000-0000153D0000}"/>
    <cellStyle name="Accent2 3 4 3 2" xfId="17326" xr:uid="{00000000-0005-0000-0000-0000163D0000}"/>
    <cellStyle name="Accent2 3 4 3 3" xfId="17325" xr:uid="{00000000-0005-0000-0000-0000173D0000}"/>
    <cellStyle name="Accent2 3 4 4" xfId="2695" xr:uid="{00000000-0005-0000-0000-0000183D0000}"/>
    <cellStyle name="Accent2 3 4 4 2" xfId="17328" xr:uid="{00000000-0005-0000-0000-0000193D0000}"/>
    <cellStyle name="Accent2 3 4 4 3" xfId="17327" xr:uid="{00000000-0005-0000-0000-00001A3D0000}"/>
    <cellStyle name="Accent2 3 4 5" xfId="3068" xr:uid="{00000000-0005-0000-0000-00001B3D0000}"/>
    <cellStyle name="Accent2 3 4 5 2" xfId="17330" xr:uid="{00000000-0005-0000-0000-00001C3D0000}"/>
    <cellStyle name="Accent2 3 4 5 3" xfId="17329" xr:uid="{00000000-0005-0000-0000-00001D3D0000}"/>
    <cellStyle name="Accent2 3 4 6" xfId="3439" xr:uid="{00000000-0005-0000-0000-00001E3D0000}"/>
    <cellStyle name="Accent2 3 4 6 2" xfId="17332" xr:uid="{00000000-0005-0000-0000-00001F3D0000}"/>
    <cellStyle name="Accent2 3 4 6 3" xfId="17331" xr:uid="{00000000-0005-0000-0000-0000203D0000}"/>
    <cellStyle name="Accent2 3 4 7" xfId="17333" xr:uid="{00000000-0005-0000-0000-0000213D0000}"/>
    <cellStyle name="Accent2 3 4 8" xfId="17322" xr:uid="{00000000-0005-0000-0000-0000223D0000}"/>
    <cellStyle name="Accent2 3 5" xfId="2066" xr:uid="{00000000-0005-0000-0000-0000233D0000}"/>
    <cellStyle name="Accent2 3 5 2" xfId="17335" xr:uid="{00000000-0005-0000-0000-0000243D0000}"/>
    <cellStyle name="Accent2 3 5 3" xfId="17334" xr:uid="{00000000-0005-0000-0000-0000253D0000}"/>
    <cellStyle name="Accent2 3 6" xfId="2440" xr:uid="{00000000-0005-0000-0000-0000263D0000}"/>
    <cellStyle name="Accent2 3 6 2" xfId="17337" xr:uid="{00000000-0005-0000-0000-0000273D0000}"/>
    <cellStyle name="Accent2 3 6 3" xfId="17336" xr:uid="{00000000-0005-0000-0000-0000283D0000}"/>
    <cellStyle name="Accent2 3 7" xfId="2812" xr:uid="{00000000-0005-0000-0000-0000293D0000}"/>
    <cellStyle name="Accent2 3 7 2" xfId="17339" xr:uid="{00000000-0005-0000-0000-00002A3D0000}"/>
    <cellStyle name="Accent2 3 7 3" xfId="17338" xr:uid="{00000000-0005-0000-0000-00002B3D0000}"/>
    <cellStyle name="Accent2 3 8" xfId="3183" xr:uid="{00000000-0005-0000-0000-00002C3D0000}"/>
    <cellStyle name="Accent2 3 8 2" xfId="17341" xr:uid="{00000000-0005-0000-0000-00002D3D0000}"/>
    <cellStyle name="Accent2 3 8 3" xfId="17340" xr:uid="{00000000-0005-0000-0000-00002E3D0000}"/>
    <cellStyle name="Accent2 3 9" xfId="3558" xr:uid="{00000000-0005-0000-0000-00002F3D0000}"/>
    <cellStyle name="Accent2 3 9 2" xfId="17343" xr:uid="{00000000-0005-0000-0000-0000303D0000}"/>
    <cellStyle name="Accent2 3 9 3" xfId="17342" xr:uid="{00000000-0005-0000-0000-0000313D0000}"/>
    <cellStyle name="Accent2 4" xfId="254" xr:uid="{00000000-0005-0000-0000-0000323D0000}"/>
    <cellStyle name="Accent2 4 10" xfId="3738" xr:uid="{00000000-0005-0000-0000-0000333D0000}"/>
    <cellStyle name="Accent2 4 10 2" xfId="17346" xr:uid="{00000000-0005-0000-0000-0000343D0000}"/>
    <cellStyle name="Accent2 4 10 3" xfId="17345" xr:uid="{00000000-0005-0000-0000-0000353D0000}"/>
    <cellStyle name="Accent2 4 11" xfId="1297" xr:uid="{00000000-0005-0000-0000-0000363D0000}"/>
    <cellStyle name="Accent2 4 11 2" xfId="17348" xr:uid="{00000000-0005-0000-0000-0000373D0000}"/>
    <cellStyle name="Accent2 4 11 3" xfId="17347" xr:uid="{00000000-0005-0000-0000-0000383D0000}"/>
    <cellStyle name="Accent2 4 12" xfId="17349" xr:uid="{00000000-0005-0000-0000-0000393D0000}"/>
    <cellStyle name="Accent2 4 13" xfId="17344" xr:uid="{00000000-0005-0000-0000-00003A3D0000}"/>
    <cellStyle name="Accent2 4 2" xfId="1512" xr:uid="{00000000-0005-0000-0000-00003B3D0000}"/>
    <cellStyle name="Accent2 4 2 2" xfId="17351" xr:uid="{00000000-0005-0000-0000-00003C3D0000}"/>
    <cellStyle name="Accent2 4 2 3" xfId="17350" xr:uid="{00000000-0005-0000-0000-00003D3D0000}"/>
    <cellStyle name="Accent2 4 3" xfId="1637" xr:uid="{00000000-0005-0000-0000-00003E3D0000}"/>
    <cellStyle name="Accent2 4 3 2" xfId="17353" xr:uid="{00000000-0005-0000-0000-00003F3D0000}"/>
    <cellStyle name="Accent2 4 3 3" xfId="17352" xr:uid="{00000000-0005-0000-0000-0000403D0000}"/>
    <cellStyle name="Accent2 4 4" xfId="1788" xr:uid="{00000000-0005-0000-0000-0000413D0000}"/>
    <cellStyle name="Accent2 4 4 2" xfId="17355" xr:uid="{00000000-0005-0000-0000-0000423D0000}"/>
    <cellStyle name="Accent2 4 4 3" xfId="17354" xr:uid="{00000000-0005-0000-0000-0000433D0000}"/>
    <cellStyle name="Accent2 4 5" xfId="2124" xr:uid="{00000000-0005-0000-0000-0000443D0000}"/>
    <cellStyle name="Accent2 4 5 2" xfId="17357" xr:uid="{00000000-0005-0000-0000-0000453D0000}"/>
    <cellStyle name="Accent2 4 5 3" xfId="17356" xr:uid="{00000000-0005-0000-0000-0000463D0000}"/>
    <cellStyle name="Accent2 4 6" xfId="2498" xr:uid="{00000000-0005-0000-0000-0000473D0000}"/>
    <cellStyle name="Accent2 4 6 2" xfId="17359" xr:uid="{00000000-0005-0000-0000-0000483D0000}"/>
    <cellStyle name="Accent2 4 6 3" xfId="17358" xr:uid="{00000000-0005-0000-0000-0000493D0000}"/>
    <cellStyle name="Accent2 4 7" xfId="2870" xr:uid="{00000000-0005-0000-0000-00004A3D0000}"/>
    <cellStyle name="Accent2 4 7 2" xfId="17361" xr:uid="{00000000-0005-0000-0000-00004B3D0000}"/>
    <cellStyle name="Accent2 4 7 3" xfId="17360" xr:uid="{00000000-0005-0000-0000-00004C3D0000}"/>
    <cellStyle name="Accent2 4 8" xfId="3241" xr:uid="{00000000-0005-0000-0000-00004D3D0000}"/>
    <cellStyle name="Accent2 4 8 2" xfId="17363" xr:uid="{00000000-0005-0000-0000-00004E3D0000}"/>
    <cellStyle name="Accent2 4 8 3" xfId="17362" xr:uid="{00000000-0005-0000-0000-00004F3D0000}"/>
    <cellStyle name="Accent2 4 9" xfId="3601" xr:uid="{00000000-0005-0000-0000-0000503D0000}"/>
    <cellStyle name="Accent2 4 9 2" xfId="17365" xr:uid="{00000000-0005-0000-0000-0000513D0000}"/>
    <cellStyle name="Accent2 4 9 3" xfId="17364" xr:uid="{00000000-0005-0000-0000-0000523D0000}"/>
    <cellStyle name="Accent2 5" xfId="435" xr:uid="{00000000-0005-0000-0000-0000533D0000}"/>
    <cellStyle name="Accent2 5 2" xfId="1874" xr:uid="{00000000-0005-0000-0000-0000543D0000}"/>
    <cellStyle name="Accent2 5 2 2" xfId="17368" xr:uid="{00000000-0005-0000-0000-0000553D0000}"/>
    <cellStyle name="Accent2 5 2 3" xfId="17367" xr:uid="{00000000-0005-0000-0000-0000563D0000}"/>
    <cellStyle name="Accent2 5 3" xfId="2249" xr:uid="{00000000-0005-0000-0000-0000573D0000}"/>
    <cellStyle name="Accent2 5 3 2" xfId="17370" xr:uid="{00000000-0005-0000-0000-0000583D0000}"/>
    <cellStyle name="Accent2 5 3 3" xfId="17369" xr:uid="{00000000-0005-0000-0000-0000593D0000}"/>
    <cellStyle name="Accent2 5 4" xfId="2623" xr:uid="{00000000-0005-0000-0000-00005A3D0000}"/>
    <cellStyle name="Accent2 5 4 2" xfId="17372" xr:uid="{00000000-0005-0000-0000-00005B3D0000}"/>
    <cellStyle name="Accent2 5 4 3" xfId="17371" xr:uid="{00000000-0005-0000-0000-00005C3D0000}"/>
    <cellStyle name="Accent2 5 5" xfId="2995" xr:uid="{00000000-0005-0000-0000-00005D3D0000}"/>
    <cellStyle name="Accent2 5 5 2" xfId="17374" xr:uid="{00000000-0005-0000-0000-00005E3D0000}"/>
    <cellStyle name="Accent2 5 5 3" xfId="17373" xr:uid="{00000000-0005-0000-0000-00005F3D0000}"/>
    <cellStyle name="Accent2 5 6" xfId="3367" xr:uid="{00000000-0005-0000-0000-0000603D0000}"/>
    <cellStyle name="Accent2 5 6 2" xfId="17376" xr:uid="{00000000-0005-0000-0000-0000613D0000}"/>
    <cellStyle name="Accent2 5 6 3" xfId="17375" xr:uid="{00000000-0005-0000-0000-0000623D0000}"/>
    <cellStyle name="Accent2 5 7" xfId="17377" xr:uid="{00000000-0005-0000-0000-0000633D0000}"/>
    <cellStyle name="Accent2 5 7 2" xfId="17378" xr:uid="{00000000-0005-0000-0000-0000643D0000}"/>
    <cellStyle name="Accent2 5 8" xfId="17379" xr:uid="{00000000-0005-0000-0000-0000653D0000}"/>
    <cellStyle name="Accent2 5 9" xfId="17366" xr:uid="{00000000-0005-0000-0000-0000663D0000}"/>
    <cellStyle name="Accent2 6" xfId="436" xr:uid="{00000000-0005-0000-0000-0000673D0000}"/>
    <cellStyle name="Accent2 6 10" xfId="17380" xr:uid="{00000000-0005-0000-0000-0000683D0000}"/>
    <cellStyle name="Accent2 6 2" xfId="1988" xr:uid="{00000000-0005-0000-0000-0000693D0000}"/>
    <cellStyle name="Accent2 6 2 2" xfId="17382" xr:uid="{00000000-0005-0000-0000-00006A3D0000}"/>
    <cellStyle name="Accent2 6 2 3" xfId="17381" xr:uid="{00000000-0005-0000-0000-00006B3D0000}"/>
    <cellStyle name="Accent2 6 3" xfId="2363" xr:uid="{00000000-0005-0000-0000-00006C3D0000}"/>
    <cellStyle name="Accent2 6 3 2" xfId="17384" xr:uid="{00000000-0005-0000-0000-00006D3D0000}"/>
    <cellStyle name="Accent2 6 3 3" xfId="17383" xr:uid="{00000000-0005-0000-0000-00006E3D0000}"/>
    <cellStyle name="Accent2 6 4" xfId="2736" xr:uid="{00000000-0005-0000-0000-00006F3D0000}"/>
    <cellStyle name="Accent2 6 4 2" xfId="17386" xr:uid="{00000000-0005-0000-0000-0000703D0000}"/>
    <cellStyle name="Accent2 6 4 3" xfId="17385" xr:uid="{00000000-0005-0000-0000-0000713D0000}"/>
    <cellStyle name="Accent2 6 5" xfId="3109" xr:uid="{00000000-0005-0000-0000-0000723D0000}"/>
    <cellStyle name="Accent2 6 5 2" xfId="17388" xr:uid="{00000000-0005-0000-0000-0000733D0000}"/>
    <cellStyle name="Accent2 6 5 3" xfId="17387" xr:uid="{00000000-0005-0000-0000-0000743D0000}"/>
    <cellStyle name="Accent2 6 6" xfId="3480" xr:uid="{00000000-0005-0000-0000-0000753D0000}"/>
    <cellStyle name="Accent2 6 6 2" xfId="17390" xr:uid="{00000000-0005-0000-0000-0000763D0000}"/>
    <cellStyle name="Accent2 6 6 3" xfId="17389" xr:uid="{00000000-0005-0000-0000-0000773D0000}"/>
    <cellStyle name="Accent2 6 7" xfId="3786" xr:uid="{00000000-0005-0000-0000-0000783D0000}"/>
    <cellStyle name="Accent2 6 7 2" xfId="17392" xr:uid="{00000000-0005-0000-0000-0000793D0000}"/>
    <cellStyle name="Accent2 6 7 3" xfId="17391" xr:uid="{00000000-0005-0000-0000-00007A3D0000}"/>
    <cellStyle name="Accent2 6 8" xfId="17393" xr:uid="{00000000-0005-0000-0000-00007B3D0000}"/>
    <cellStyle name="Accent2 6 8 2" xfId="17394" xr:uid="{00000000-0005-0000-0000-00007C3D0000}"/>
    <cellStyle name="Accent2 6 9" xfId="17395" xr:uid="{00000000-0005-0000-0000-00007D3D0000}"/>
    <cellStyle name="Accent2 7" xfId="437" xr:uid="{00000000-0005-0000-0000-00007E3D0000}"/>
    <cellStyle name="Accent2 7 2" xfId="17397" xr:uid="{00000000-0005-0000-0000-00007F3D0000}"/>
    <cellStyle name="Accent2 7 3" xfId="17396" xr:uid="{00000000-0005-0000-0000-0000803D0000}"/>
    <cellStyle name="Accent2 8" xfId="577" xr:uid="{00000000-0005-0000-0000-0000813D0000}"/>
    <cellStyle name="Accent2 8 2" xfId="17399" xr:uid="{00000000-0005-0000-0000-0000823D0000}"/>
    <cellStyle name="Accent2 8 3" xfId="17398" xr:uid="{00000000-0005-0000-0000-0000833D0000}"/>
    <cellStyle name="Accent2 9" xfId="578" xr:uid="{00000000-0005-0000-0000-0000843D0000}"/>
    <cellStyle name="Accent2 9 2" xfId="17401" xr:uid="{00000000-0005-0000-0000-0000853D0000}"/>
    <cellStyle name="Accent2 9 3" xfId="17400" xr:uid="{00000000-0005-0000-0000-0000863D0000}"/>
    <cellStyle name="Accent3 10" xfId="720" xr:uid="{00000000-0005-0000-0000-0000873D0000}"/>
    <cellStyle name="Accent3 10 2" xfId="17404" xr:uid="{00000000-0005-0000-0000-0000883D0000}"/>
    <cellStyle name="Accent3 10 3" xfId="17403" xr:uid="{00000000-0005-0000-0000-0000893D0000}"/>
    <cellStyle name="Accent3 11" xfId="721" xr:uid="{00000000-0005-0000-0000-00008A3D0000}"/>
    <cellStyle name="Accent3 11 2" xfId="17406" xr:uid="{00000000-0005-0000-0000-00008B3D0000}"/>
    <cellStyle name="Accent3 11 3" xfId="17405" xr:uid="{00000000-0005-0000-0000-00008C3D0000}"/>
    <cellStyle name="Accent3 12" xfId="858" xr:uid="{00000000-0005-0000-0000-00008D3D0000}"/>
    <cellStyle name="Accent3 12 2" xfId="17407" xr:uid="{00000000-0005-0000-0000-00008E3D0000}"/>
    <cellStyle name="Accent3 13" xfId="859" xr:uid="{00000000-0005-0000-0000-00008F3D0000}"/>
    <cellStyle name="Accent3 13 2" xfId="17402" xr:uid="{00000000-0005-0000-0000-0000903D0000}"/>
    <cellStyle name="Accent3 14" xfId="961" xr:uid="{00000000-0005-0000-0000-0000913D0000}"/>
    <cellStyle name="Accent3 2" xfId="88" xr:uid="{00000000-0005-0000-0000-0000923D0000}"/>
    <cellStyle name="Accent3 2 10" xfId="1687" xr:uid="{00000000-0005-0000-0000-0000933D0000}"/>
    <cellStyle name="Accent3 2 10 2" xfId="17410" xr:uid="{00000000-0005-0000-0000-0000943D0000}"/>
    <cellStyle name="Accent3 2 10 3" xfId="17409" xr:uid="{00000000-0005-0000-0000-0000953D0000}"/>
    <cellStyle name="Accent3 2 11" xfId="2022" xr:uid="{00000000-0005-0000-0000-0000963D0000}"/>
    <cellStyle name="Accent3 2 11 2" xfId="17412" xr:uid="{00000000-0005-0000-0000-0000973D0000}"/>
    <cellStyle name="Accent3 2 11 3" xfId="17411" xr:uid="{00000000-0005-0000-0000-0000983D0000}"/>
    <cellStyle name="Accent3 2 12" xfId="2396" xr:uid="{00000000-0005-0000-0000-0000993D0000}"/>
    <cellStyle name="Accent3 2 12 2" xfId="17414" xr:uid="{00000000-0005-0000-0000-00009A3D0000}"/>
    <cellStyle name="Accent3 2 12 3" xfId="17413" xr:uid="{00000000-0005-0000-0000-00009B3D0000}"/>
    <cellStyle name="Accent3 2 13" xfId="2769" xr:uid="{00000000-0005-0000-0000-00009C3D0000}"/>
    <cellStyle name="Accent3 2 13 2" xfId="17416" xr:uid="{00000000-0005-0000-0000-00009D3D0000}"/>
    <cellStyle name="Accent3 2 13 3" xfId="17415" xr:uid="{00000000-0005-0000-0000-00009E3D0000}"/>
    <cellStyle name="Accent3 2 14" xfId="3143" xr:uid="{00000000-0005-0000-0000-00009F3D0000}"/>
    <cellStyle name="Accent3 2 14 2" xfId="17418" xr:uid="{00000000-0005-0000-0000-0000A03D0000}"/>
    <cellStyle name="Accent3 2 14 3" xfId="17417" xr:uid="{00000000-0005-0000-0000-0000A13D0000}"/>
    <cellStyle name="Accent3 2 15" xfId="3514" xr:uid="{00000000-0005-0000-0000-0000A23D0000}"/>
    <cellStyle name="Accent3 2 15 2" xfId="17420" xr:uid="{00000000-0005-0000-0000-0000A33D0000}"/>
    <cellStyle name="Accent3 2 15 3" xfId="17419" xr:uid="{00000000-0005-0000-0000-0000A43D0000}"/>
    <cellStyle name="Accent3 2 16" xfId="3652" xr:uid="{00000000-0005-0000-0000-0000A53D0000}"/>
    <cellStyle name="Accent3 2 16 2" xfId="17422" xr:uid="{00000000-0005-0000-0000-0000A63D0000}"/>
    <cellStyle name="Accent3 2 16 3" xfId="17421" xr:uid="{00000000-0005-0000-0000-0000A73D0000}"/>
    <cellStyle name="Accent3 2 17" xfId="17423" xr:uid="{00000000-0005-0000-0000-0000A83D0000}"/>
    <cellStyle name="Accent3 2 17 2" xfId="17424" xr:uid="{00000000-0005-0000-0000-0000A93D0000}"/>
    <cellStyle name="Accent3 2 18" xfId="17425" xr:uid="{00000000-0005-0000-0000-0000AA3D0000}"/>
    <cellStyle name="Accent3 2 19" xfId="17408" xr:uid="{00000000-0005-0000-0000-0000AB3D0000}"/>
    <cellStyle name="Accent3 2 2" xfId="132" xr:uid="{00000000-0005-0000-0000-0000AC3D0000}"/>
    <cellStyle name="Accent3 2 2 2" xfId="178" xr:uid="{00000000-0005-0000-0000-0000AD3D0000}"/>
    <cellStyle name="Accent3 2 2 2 2" xfId="17428" xr:uid="{00000000-0005-0000-0000-0000AE3D0000}"/>
    <cellStyle name="Accent3 2 2 2 3" xfId="17427" xr:uid="{00000000-0005-0000-0000-0000AF3D0000}"/>
    <cellStyle name="Accent3 2 2 3" xfId="342" xr:uid="{00000000-0005-0000-0000-0000B03D0000}"/>
    <cellStyle name="Accent3 2 2 3 2" xfId="17430" xr:uid="{00000000-0005-0000-0000-0000B13D0000}"/>
    <cellStyle name="Accent3 2 2 3 3" xfId="17429" xr:uid="{00000000-0005-0000-0000-0000B23D0000}"/>
    <cellStyle name="Accent3 2 2 4" xfId="2164" xr:uid="{00000000-0005-0000-0000-0000B33D0000}"/>
    <cellStyle name="Accent3 2 2 4 2" xfId="17432" xr:uid="{00000000-0005-0000-0000-0000B43D0000}"/>
    <cellStyle name="Accent3 2 2 4 3" xfId="17431" xr:uid="{00000000-0005-0000-0000-0000B53D0000}"/>
    <cellStyle name="Accent3 2 2 5" xfId="2538" xr:uid="{00000000-0005-0000-0000-0000B63D0000}"/>
    <cellStyle name="Accent3 2 2 5 2" xfId="17434" xr:uid="{00000000-0005-0000-0000-0000B73D0000}"/>
    <cellStyle name="Accent3 2 2 5 3" xfId="17433" xr:uid="{00000000-0005-0000-0000-0000B83D0000}"/>
    <cellStyle name="Accent3 2 2 6" xfId="2910" xr:uid="{00000000-0005-0000-0000-0000B93D0000}"/>
    <cellStyle name="Accent3 2 2 6 2" xfId="17436" xr:uid="{00000000-0005-0000-0000-0000BA3D0000}"/>
    <cellStyle name="Accent3 2 2 6 3" xfId="17435" xr:uid="{00000000-0005-0000-0000-0000BB3D0000}"/>
    <cellStyle name="Accent3 2 2 7" xfId="3282" xr:uid="{00000000-0005-0000-0000-0000BC3D0000}"/>
    <cellStyle name="Accent3 2 2 7 2" xfId="17438" xr:uid="{00000000-0005-0000-0000-0000BD3D0000}"/>
    <cellStyle name="Accent3 2 2 7 3" xfId="17437" xr:uid="{00000000-0005-0000-0000-0000BE3D0000}"/>
    <cellStyle name="Accent3 2 2 8" xfId="17439" xr:uid="{00000000-0005-0000-0000-0000BF3D0000}"/>
    <cellStyle name="Accent3 2 2 9" xfId="17426" xr:uid="{00000000-0005-0000-0000-0000C03D0000}"/>
    <cellStyle name="Accent3 2 20" xfId="24486" xr:uid="{00000000-0005-0000-0000-0000C13D0000}"/>
    <cellStyle name="Accent3 2 3" xfId="297" xr:uid="{00000000-0005-0000-0000-0000C23D0000}"/>
    <cellStyle name="Accent3 2 3 2" xfId="1340" xr:uid="{00000000-0005-0000-0000-0000C33D0000}"/>
    <cellStyle name="Accent3 2 3 2 2" xfId="17441" xr:uid="{00000000-0005-0000-0000-0000C43D0000}"/>
    <cellStyle name="Accent3 2 3 3" xfId="17440" xr:uid="{00000000-0005-0000-0000-0000C53D0000}"/>
    <cellStyle name="Accent3 2 4" xfId="438" xr:uid="{00000000-0005-0000-0000-0000C63D0000}"/>
    <cellStyle name="Accent3 2 4 2" xfId="17443" xr:uid="{00000000-0005-0000-0000-0000C73D0000}"/>
    <cellStyle name="Accent3 2 4 3" xfId="17442" xr:uid="{00000000-0005-0000-0000-0000C83D0000}"/>
    <cellStyle name="Accent3 2 5" xfId="579" xr:uid="{00000000-0005-0000-0000-0000C93D0000}"/>
    <cellStyle name="Accent3 2 5 2" xfId="17445" xr:uid="{00000000-0005-0000-0000-0000CA3D0000}"/>
    <cellStyle name="Accent3 2 5 3" xfId="17444" xr:uid="{00000000-0005-0000-0000-0000CB3D0000}"/>
    <cellStyle name="Accent3 2 6" xfId="722" xr:uid="{00000000-0005-0000-0000-0000CC3D0000}"/>
    <cellStyle name="Accent3 2 6 2" xfId="17447" xr:uid="{00000000-0005-0000-0000-0000CD3D0000}"/>
    <cellStyle name="Accent3 2 6 3" xfId="17446" xr:uid="{00000000-0005-0000-0000-0000CE3D0000}"/>
    <cellStyle name="Accent3 2 7" xfId="723" xr:uid="{00000000-0005-0000-0000-0000CF3D0000}"/>
    <cellStyle name="Accent3 2 7 2" xfId="17449" xr:uid="{00000000-0005-0000-0000-0000D03D0000}"/>
    <cellStyle name="Accent3 2 7 3" xfId="17448" xr:uid="{00000000-0005-0000-0000-0000D13D0000}"/>
    <cellStyle name="Accent3 2 8" xfId="860" xr:uid="{00000000-0005-0000-0000-0000D23D0000}"/>
    <cellStyle name="Accent3 2 8 2" xfId="1416" xr:uid="{00000000-0005-0000-0000-0000D33D0000}"/>
    <cellStyle name="Accent3 2 8 2 2" xfId="17451" xr:uid="{00000000-0005-0000-0000-0000D43D0000}"/>
    <cellStyle name="Accent3 2 8 3" xfId="17450" xr:uid="{00000000-0005-0000-0000-0000D53D0000}"/>
    <cellStyle name="Accent3 2 9" xfId="962" xr:uid="{00000000-0005-0000-0000-0000D63D0000}"/>
    <cellStyle name="Accent3 2 9 2" xfId="1561" xr:uid="{00000000-0005-0000-0000-0000D73D0000}"/>
    <cellStyle name="Accent3 2 9 2 2" xfId="17453" xr:uid="{00000000-0005-0000-0000-0000D83D0000}"/>
    <cellStyle name="Accent3 2 9 3" xfId="17452" xr:uid="{00000000-0005-0000-0000-0000D93D0000}"/>
    <cellStyle name="Accent3 3" xfId="219" xr:uid="{00000000-0005-0000-0000-0000DA3D0000}"/>
    <cellStyle name="Accent3 3 10" xfId="3695" xr:uid="{00000000-0005-0000-0000-0000DB3D0000}"/>
    <cellStyle name="Accent3 3 10 2" xfId="17456" xr:uid="{00000000-0005-0000-0000-0000DC3D0000}"/>
    <cellStyle name="Accent3 3 10 3" xfId="17455" xr:uid="{00000000-0005-0000-0000-0000DD3D0000}"/>
    <cellStyle name="Accent3 3 11" xfId="17457" xr:uid="{00000000-0005-0000-0000-0000DE3D0000}"/>
    <cellStyle name="Accent3 3 11 2" xfId="17458" xr:uid="{00000000-0005-0000-0000-0000DF3D0000}"/>
    <cellStyle name="Accent3 3 12" xfId="17459" xr:uid="{00000000-0005-0000-0000-0000E03D0000}"/>
    <cellStyle name="Accent3 3 13" xfId="17454" xr:uid="{00000000-0005-0000-0000-0000E13D0000}"/>
    <cellStyle name="Accent3 3 2" xfId="1468" xr:uid="{00000000-0005-0000-0000-0000E23D0000}"/>
    <cellStyle name="Accent3 3 2 2" xfId="1830" xr:uid="{00000000-0005-0000-0000-0000E33D0000}"/>
    <cellStyle name="Accent3 3 2 2 2" xfId="17462" xr:uid="{00000000-0005-0000-0000-0000E43D0000}"/>
    <cellStyle name="Accent3 3 2 2 3" xfId="17461" xr:uid="{00000000-0005-0000-0000-0000E53D0000}"/>
    <cellStyle name="Accent3 3 2 3" xfId="2205" xr:uid="{00000000-0005-0000-0000-0000E63D0000}"/>
    <cellStyle name="Accent3 3 2 3 2" xfId="17464" xr:uid="{00000000-0005-0000-0000-0000E73D0000}"/>
    <cellStyle name="Accent3 3 2 3 3" xfId="17463" xr:uid="{00000000-0005-0000-0000-0000E83D0000}"/>
    <cellStyle name="Accent3 3 2 4" xfId="2579" xr:uid="{00000000-0005-0000-0000-0000E93D0000}"/>
    <cellStyle name="Accent3 3 2 4 2" xfId="17466" xr:uid="{00000000-0005-0000-0000-0000EA3D0000}"/>
    <cellStyle name="Accent3 3 2 4 3" xfId="17465" xr:uid="{00000000-0005-0000-0000-0000EB3D0000}"/>
    <cellStyle name="Accent3 3 2 5" xfId="2951" xr:uid="{00000000-0005-0000-0000-0000EC3D0000}"/>
    <cellStyle name="Accent3 3 2 5 2" xfId="17468" xr:uid="{00000000-0005-0000-0000-0000ED3D0000}"/>
    <cellStyle name="Accent3 3 2 5 3" xfId="17467" xr:uid="{00000000-0005-0000-0000-0000EE3D0000}"/>
    <cellStyle name="Accent3 3 2 6" xfId="3323" xr:uid="{00000000-0005-0000-0000-0000EF3D0000}"/>
    <cellStyle name="Accent3 3 2 6 2" xfId="17470" xr:uid="{00000000-0005-0000-0000-0000F03D0000}"/>
    <cellStyle name="Accent3 3 2 6 3" xfId="17469" xr:uid="{00000000-0005-0000-0000-0000F13D0000}"/>
    <cellStyle name="Accent3 3 2 7" xfId="17471" xr:uid="{00000000-0005-0000-0000-0000F23D0000}"/>
    <cellStyle name="Accent3 3 2 8" xfId="17460" xr:uid="{00000000-0005-0000-0000-0000F33D0000}"/>
    <cellStyle name="Accent3 3 3" xfId="1595" xr:uid="{00000000-0005-0000-0000-0000F43D0000}"/>
    <cellStyle name="Accent3 3 3 2" xfId="1907" xr:uid="{00000000-0005-0000-0000-0000F53D0000}"/>
    <cellStyle name="Accent3 3 3 2 2" xfId="17474" xr:uid="{00000000-0005-0000-0000-0000F63D0000}"/>
    <cellStyle name="Accent3 3 3 2 3" xfId="17473" xr:uid="{00000000-0005-0000-0000-0000F73D0000}"/>
    <cellStyle name="Accent3 3 3 3" xfId="2282" xr:uid="{00000000-0005-0000-0000-0000F83D0000}"/>
    <cellStyle name="Accent3 3 3 3 2" xfId="17476" xr:uid="{00000000-0005-0000-0000-0000F93D0000}"/>
    <cellStyle name="Accent3 3 3 3 3" xfId="17475" xr:uid="{00000000-0005-0000-0000-0000FA3D0000}"/>
    <cellStyle name="Accent3 3 3 4" xfId="2655" xr:uid="{00000000-0005-0000-0000-0000FB3D0000}"/>
    <cellStyle name="Accent3 3 3 4 2" xfId="17478" xr:uid="{00000000-0005-0000-0000-0000FC3D0000}"/>
    <cellStyle name="Accent3 3 3 4 3" xfId="17477" xr:uid="{00000000-0005-0000-0000-0000FD3D0000}"/>
    <cellStyle name="Accent3 3 3 5" xfId="3028" xr:uid="{00000000-0005-0000-0000-0000FE3D0000}"/>
    <cellStyle name="Accent3 3 3 5 2" xfId="17480" xr:uid="{00000000-0005-0000-0000-0000FF3D0000}"/>
    <cellStyle name="Accent3 3 3 5 3" xfId="17479" xr:uid="{00000000-0005-0000-0000-0000003E0000}"/>
    <cellStyle name="Accent3 3 3 6" xfId="3399" xr:uid="{00000000-0005-0000-0000-0000013E0000}"/>
    <cellStyle name="Accent3 3 3 6 2" xfId="17482" xr:uid="{00000000-0005-0000-0000-0000023E0000}"/>
    <cellStyle name="Accent3 3 3 6 3" xfId="17481" xr:uid="{00000000-0005-0000-0000-0000033E0000}"/>
    <cellStyle name="Accent3 3 3 7" xfId="17483" xr:uid="{00000000-0005-0000-0000-0000043E0000}"/>
    <cellStyle name="Accent3 3 3 8" xfId="17472" xr:uid="{00000000-0005-0000-0000-0000053E0000}"/>
    <cellStyle name="Accent3 3 4" xfId="1732" xr:uid="{00000000-0005-0000-0000-0000063E0000}"/>
    <cellStyle name="Accent3 3 4 2" xfId="1951" xr:uid="{00000000-0005-0000-0000-0000073E0000}"/>
    <cellStyle name="Accent3 3 4 2 2" xfId="17486" xr:uid="{00000000-0005-0000-0000-0000083E0000}"/>
    <cellStyle name="Accent3 3 4 2 3" xfId="17485" xr:uid="{00000000-0005-0000-0000-0000093E0000}"/>
    <cellStyle name="Accent3 3 4 3" xfId="2326" xr:uid="{00000000-0005-0000-0000-00000A3E0000}"/>
    <cellStyle name="Accent3 3 4 3 2" xfId="17488" xr:uid="{00000000-0005-0000-0000-00000B3E0000}"/>
    <cellStyle name="Accent3 3 4 3 3" xfId="17487" xr:uid="{00000000-0005-0000-0000-00000C3E0000}"/>
    <cellStyle name="Accent3 3 4 4" xfId="2699" xr:uid="{00000000-0005-0000-0000-00000D3E0000}"/>
    <cellStyle name="Accent3 3 4 4 2" xfId="17490" xr:uid="{00000000-0005-0000-0000-00000E3E0000}"/>
    <cellStyle name="Accent3 3 4 4 3" xfId="17489" xr:uid="{00000000-0005-0000-0000-00000F3E0000}"/>
    <cellStyle name="Accent3 3 4 5" xfId="3072" xr:uid="{00000000-0005-0000-0000-0000103E0000}"/>
    <cellStyle name="Accent3 3 4 5 2" xfId="17492" xr:uid="{00000000-0005-0000-0000-0000113E0000}"/>
    <cellStyle name="Accent3 3 4 5 3" xfId="17491" xr:uid="{00000000-0005-0000-0000-0000123E0000}"/>
    <cellStyle name="Accent3 3 4 6" xfId="3443" xr:uid="{00000000-0005-0000-0000-0000133E0000}"/>
    <cellStyle name="Accent3 3 4 6 2" xfId="17494" xr:uid="{00000000-0005-0000-0000-0000143E0000}"/>
    <cellStyle name="Accent3 3 4 6 3" xfId="17493" xr:uid="{00000000-0005-0000-0000-0000153E0000}"/>
    <cellStyle name="Accent3 3 4 7" xfId="17495" xr:uid="{00000000-0005-0000-0000-0000163E0000}"/>
    <cellStyle name="Accent3 3 4 8" xfId="17484" xr:uid="{00000000-0005-0000-0000-0000173E0000}"/>
    <cellStyle name="Accent3 3 5" xfId="2067" xr:uid="{00000000-0005-0000-0000-0000183E0000}"/>
    <cellStyle name="Accent3 3 5 2" xfId="17497" xr:uid="{00000000-0005-0000-0000-0000193E0000}"/>
    <cellStyle name="Accent3 3 5 3" xfId="17496" xr:uid="{00000000-0005-0000-0000-00001A3E0000}"/>
    <cellStyle name="Accent3 3 6" xfId="2441" xr:uid="{00000000-0005-0000-0000-00001B3E0000}"/>
    <cellStyle name="Accent3 3 6 2" xfId="17499" xr:uid="{00000000-0005-0000-0000-00001C3E0000}"/>
    <cellStyle name="Accent3 3 6 3" xfId="17498" xr:uid="{00000000-0005-0000-0000-00001D3E0000}"/>
    <cellStyle name="Accent3 3 7" xfId="2813" xr:uid="{00000000-0005-0000-0000-00001E3E0000}"/>
    <cellStyle name="Accent3 3 7 2" xfId="17501" xr:uid="{00000000-0005-0000-0000-00001F3E0000}"/>
    <cellStyle name="Accent3 3 7 3" xfId="17500" xr:uid="{00000000-0005-0000-0000-0000203E0000}"/>
    <cellStyle name="Accent3 3 8" xfId="3184" xr:uid="{00000000-0005-0000-0000-0000213E0000}"/>
    <cellStyle name="Accent3 3 8 2" xfId="17503" xr:uid="{00000000-0005-0000-0000-0000223E0000}"/>
    <cellStyle name="Accent3 3 8 3" xfId="17502" xr:uid="{00000000-0005-0000-0000-0000233E0000}"/>
    <cellStyle name="Accent3 3 9" xfId="3559" xr:uid="{00000000-0005-0000-0000-0000243E0000}"/>
    <cellStyle name="Accent3 3 9 2" xfId="17505" xr:uid="{00000000-0005-0000-0000-0000253E0000}"/>
    <cellStyle name="Accent3 3 9 3" xfId="17504" xr:uid="{00000000-0005-0000-0000-0000263E0000}"/>
    <cellStyle name="Accent3 4" xfId="255" xr:uid="{00000000-0005-0000-0000-0000273E0000}"/>
    <cellStyle name="Accent3 4 10" xfId="3739" xr:uid="{00000000-0005-0000-0000-0000283E0000}"/>
    <cellStyle name="Accent3 4 10 2" xfId="17508" xr:uid="{00000000-0005-0000-0000-0000293E0000}"/>
    <cellStyle name="Accent3 4 10 3" xfId="17507" xr:uid="{00000000-0005-0000-0000-00002A3E0000}"/>
    <cellStyle name="Accent3 4 11" xfId="1301" xr:uid="{00000000-0005-0000-0000-00002B3E0000}"/>
    <cellStyle name="Accent3 4 11 2" xfId="17510" xr:uid="{00000000-0005-0000-0000-00002C3E0000}"/>
    <cellStyle name="Accent3 4 11 3" xfId="17509" xr:uid="{00000000-0005-0000-0000-00002D3E0000}"/>
    <cellStyle name="Accent3 4 12" xfId="17511" xr:uid="{00000000-0005-0000-0000-00002E3E0000}"/>
    <cellStyle name="Accent3 4 13" xfId="17506" xr:uid="{00000000-0005-0000-0000-00002F3E0000}"/>
    <cellStyle name="Accent3 4 2" xfId="1513" xr:uid="{00000000-0005-0000-0000-0000303E0000}"/>
    <cellStyle name="Accent3 4 2 2" xfId="17513" xr:uid="{00000000-0005-0000-0000-0000313E0000}"/>
    <cellStyle name="Accent3 4 2 3" xfId="17512" xr:uid="{00000000-0005-0000-0000-0000323E0000}"/>
    <cellStyle name="Accent3 4 3" xfId="1638" xr:uid="{00000000-0005-0000-0000-0000333E0000}"/>
    <cellStyle name="Accent3 4 3 2" xfId="17515" xr:uid="{00000000-0005-0000-0000-0000343E0000}"/>
    <cellStyle name="Accent3 4 3 3" xfId="17514" xr:uid="{00000000-0005-0000-0000-0000353E0000}"/>
    <cellStyle name="Accent3 4 4" xfId="1787" xr:uid="{00000000-0005-0000-0000-0000363E0000}"/>
    <cellStyle name="Accent3 4 4 2" xfId="17517" xr:uid="{00000000-0005-0000-0000-0000373E0000}"/>
    <cellStyle name="Accent3 4 4 3" xfId="17516" xr:uid="{00000000-0005-0000-0000-0000383E0000}"/>
    <cellStyle name="Accent3 4 5" xfId="2123" xr:uid="{00000000-0005-0000-0000-0000393E0000}"/>
    <cellStyle name="Accent3 4 5 2" xfId="17519" xr:uid="{00000000-0005-0000-0000-00003A3E0000}"/>
    <cellStyle name="Accent3 4 5 3" xfId="17518" xr:uid="{00000000-0005-0000-0000-00003B3E0000}"/>
    <cellStyle name="Accent3 4 6" xfId="2497" xr:uid="{00000000-0005-0000-0000-00003C3E0000}"/>
    <cellStyle name="Accent3 4 6 2" xfId="17521" xr:uid="{00000000-0005-0000-0000-00003D3E0000}"/>
    <cellStyle name="Accent3 4 6 3" xfId="17520" xr:uid="{00000000-0005-0000-0000-00003E3E0000}"/>
    <cellStyle name="Accent3 4 7" xfId="2869" xr:uid="{00000000-0005-0000-0000-00003F3E0000}"/>
    <cellStyle name="Accent3 4 7 2" xfId="17523" xr:uid="{00000000-0005-0000-0000-0000403E0000}"/>
    <cellStyle name="Accent3 4 7 3" xfId="17522" xr:uid="{00000000-0005-0000-0000-0000413E0000}"/>
    <cellStyle name="Accent3 4 8" xfId="3240" xr:uid="{00000000-0005-0000-0000-0000423E0000}"/>
    <cellStyle name="Accent3 4 8 2" xfId="17525" xr:uid="{00000000-0005-0000-0000-0000433E0000}"/>
    <cellStyle name="Accent3 4 8 3" xfId="17524" xr:uid="{00000000-0005-0000-0000-0000443E0000}"/>
    <cellStyle name="Accent3 4 9" xfId="3602" xr:uid="{00000000-0005-0000-0000-0000453E0000}"/>
    <cellStyle name="Accent3 4 9 2" xfId="17527" xr:uid="{00000000-0005-0000-0000-0000463E0000}"/>
    <cellStyle name="Accent3 4 9 3" xfId="17526" xr:uid="{00000000-0005-0000-0000-0000473E0000}"/>
    <cellStyle name="Accent3 5" xfId="439" xr:uid="{00000000-0005-0000-0000-0000483E0000}"/>
    <cellStyle name="Accent3 5 2" xfId="1856" xr:uid="{00000000-0005-0000-0000-0000493E0000}"/>
    <cellStyle name="Accent3 5 2 2" xfId="17530" xr:uid="{00000000-0005-0000-0000-00004A3E0000}"/>
    <cellStyle name="Accent3 5 2 3" xfId="17529" xr:uid="{00000000-0005-0000-0000-00004B3E0000}"/>
    <cellStyle name="Accent3 5 3" xfId="2231" xr:uid="{00000000-0005-0000-0000-00004C3E0000}"/>
    <cellStyle name="Accent3 5 3 2" xfId="17532" xr:uid="{00000000-0005-0000-0000-00004D3E0000}"/>
    <cellStyle name="Accent3 5 3 3" xfId="17531" xr:uid="{00000000-0005-0000-0000-00004E3E0000}"/>
    <cellStyle name="Accent3 5 4" xfId="2605" xr:uid="{00000000-0005-0000-0000-00004F3E0000}"/>
    <cellStyle name="Accent3 5 4 2" xfId="17534" xr:uid="{00000000-0005-0000-0000-0000503E0000}"/>
    <cellStyle name="Accent3 5 4 3" xfId="17533" xr:uid="{00000000-0005-0000-0000-0000513E0000}"/>
    <cellStyle name="Accent3 5 5" xfId="2977" xr:uid="{00000000-0005-0000-0000-0000523E0000}"/>
    <cellStyle name="Accent3 5 5 2" xfId="17536" xr:uid="{00000000-0005-0000-0000-0000533E0000}"/>
    <cellStyle name="Accent3 5 5 3" xfId="17535" xr:uid="{00000000-0005-0000-0000-0000543E0000}"/>
    <cellStyle name="Accent3 5 6" xfId="3349" xr:uid="{00000000-0005-0000-0000-0000553E0000}"/>
    <cellStyle name="Accent3 5 6 2" xfId="17538" xr:uid="{00000000-0005-0000-0000-0000563E0000}"/>
    <cellStyle name="Accent3 5 6 3" xfId="17537" xr:uid="{00000000-0005-0000-0000-0000573E0000}"/>
    <cellStyle name="Accent3 5 7" xfId="17539" xr:uid="{00000000-0005-0000-0000-0000583E0000}"/>
    <cellStyle name="Accent3 5 7 2" xfId="17540" xr:uid="{00000000-0005-0000-0000-0000593E0000}"/>
    <cellStyle name="Accent3 5 8" xfId="17541" xr:uid="{00000000-0005-0000-0000-00005A3E0000}"/>
    <cellStyle name="Accent3 5 9" xfId="17528" xr:uid="{00000000-0005-0000-0000-00005B3E0000}"/>
    <cellStyle name="Accent3 6" xfId="440" xr:uid="{00000000-0005-0000-0000-00005C3E0000}"/>
    <cellStyle name="Accent3 6 10" xfId="17542" xr:uid="{00000000-0005-0000-0000-00005D3E0000}"/>
    <cellStyle name="Accent3 6 2" xfId="1989" xr:uid="{00000000-0005-0000-0000-00005E3E0000}"/>
    <cellStyle name="Accent3 6 2 2" xfId="17544" xr:uid="{00000000-0005-0000-0000-00005F3E0000}"/>
    <cellStyle name="Accent3 6 2 3" xfId="17543" xr:uid="{00000000-0005-0000-0000-0000603E0000}"/>
    <cellStyle name="Accent3 6 3" xfId="2364" xr:uid="{00000000-0005-0000-0000-0000613E0000}"/>
    <cellStyle name="Accent3 6 3 2" xfId="17546" xr:uid="{00000000-0005-0000-0000-0000623E0000}"/>
    <cellStyle name="Accent3 6 3 3" xfId="17545" xr:uid="{00000000-0005-0000-0000-0000633E0000}"/>
    <cellStyle name="Accent3 6 4" xfId="2737" xr:uid="{00000000-0005-0000-0000-0000643E0000}"/>
    <cellStyle name="Accent3 6 4 2" xfId="17548" xr:uid="{00000000-0005-0000-0000-0000653E0000}"/>
    <cellStyle name="Accent3 6 4 3" xfId="17547" xr:uid="{00000000-0005-0000-0000-0000663E0000}"/>
    <cellStyle name="Accent3 6 5" xfId="3110" xr:uid="{00000000-0005-0000-0000-0000673E0000}"/>
    <cellStyle name="Accent3 6 5 2" xfId="17550" xr:uid="{00000000-0005-0000-0000-0000683E0000}"/>
    <cellStyle name="Accent3 6 5 3" xfId="17549" xr:uid="{00000000-0005-0000-0000-0000693E0000}"/>
    <cellStyle name="Accent3 6 6" xfId="3481" xr:uid="{00000000-0005-0000-0000-00006A3E0000}"/>
    <cellStyle name="Accent3 6 6 2" xfId="17552" xr:uid="{00000000-0005-0000-0000-00006B3E0000}"/>
    <cellStyle name="Accent3 6 6 3" xfId="17551" xr:uid="{00000000-0005-0000-0000-00006C3E0000}"/>
    <cellStyle name="Accent3 6 7" xfId="3787" xr:uid="{00000000-0005-0000-0000-00006D3E0000}"/>
    <cellStyle name="Accent3 6 7 2" xfId="17554" xr:uid="{00000000-0005-0000-0000-00006E3E0000}"/>
    <cellStyle name="Accent3 6 7 3" xfId="17553" xr:uid="{00000000-0005-0000-0000-00006F3E0000}"/>
    <cellStyle name="Accent3 6 8" xfId="17555" xr:uid="{00000000-0005-0000-0000-0000703E0000}"/>
    <cellStyle name="Accent3 6 8 2" xfId="17556" xr:uid="{00000000-0005-0000-0000-0000713E0000}"/>
    <cellStyle name="Accent3 6 9" xfId="17557" xr:uid="{00000000-0005-0000-0000-0000723E0000}"/>
    <cellStyle name="Accent3 7" xfId="441" xr:uid="{00000000-0005-0000-0000-0000733E0000}"/>
    <cellStyle name="Accent3 7 2" xfId="17559" xr:uid="{00000000-0005-0000-0000-0000743E0000}"/>
    <cellStyle name="Accent3 7 3" xfId="17558" xr:uid="{00000000-0005-0000-0000-0000753E0000}"/>
    <cellStyle name="Accent3 8" xfId="580" xr:uid="{00000000-0005-0000-0000-0000763E0000}"/>
    <cellStyle name="Accent3 8 2" xfId="17561" xr:uid="{00000000-0005-0000-0000-0000773E0000}"/>
    <cellStyle name="Accent3 8 3" xfId="17560" xr:uid="{00000000-0005-0000-0000-0000783E0000}"/>
    <cellStyle name="Accent3 9" xfId="581" xr:uid="{00000000-0005-0000-0000-0000793E0000}"/>
    <cellStyle name="Accent3 9 2" xfId="17563" xr:uid="{00000000-0005-0000-0000-00007A3E0000}"/>
    <cellStyle name="Accent3 9 3" xfId="17562" xr:uid="{00000000-0005-0000-0000-00007B3E0000}"/>
    <cellStyle name="Accent4 10" xfId="724" xr:uid="{00000000-0005-0000-0000-00007C3E0000}"/>
    <cellStyle name="Accent4 10 2" xfId="17566" xr:uid="{00000000-0005-0000-0000-00007D3E0000}"/>
    <cellStyle name="Accent4 10 3" xfId="17565" xr:uid="{00000000-0005-0000-0000-00007E3E0000}"/>
    <cellStyle name="Accent4 11" xfId="725" xr:uid="{00000000-0005-0000-0000-00007F3E0000}"/>
    <cellStyle name="Accent4 11 2" xfId="17568" xr:uid="{00000000-0005-0000-0000-0000803E0000}"/>
    <cellStyle name="Accent4 11 3" xfId="17567" xr:uid="{00000000-0005-0000-0000-0000813E0000}"/>
    <cellStyle name="Accent4 12" xfId="861" xr:uid="{00000000-0005-0000-0000-0000823E0000}"/>
    <cellStyle name="Accent4 12 2" xfId="17569" xr:uid="{00000000-0005-0000-0000-0000833E0000}"/>
    <cellStyle name="Accent4 13" xfId="862" xr:uid="{00000000-0005-0000-0000-0000843E0000}"/>
    <cellStyle name="Accent4 13 2" xfId="17564" xr:uid="{00000000-0005-0000-0000-0000853E0000}"/>
    <cellStyle name="Accent4 14" xfId="963" xr:uid="{00000000-0005-0000-0000-0000863E0000}"/>
    <cellStyle name="Accent4 2" xfId="89" xr:uid="{00000000-0005-0000-0000-0000873E0000}"/>
    <cellStyle name="Accent4 2 10" xfId="1688" xr:uid="{00000000-0005-0000-0000-0000883E0000}"/>
    <cellStyle name="Accent4 2 10 2" xfId="17572" xr:uid="{00000000-0005-0000-0000-0000893E0000}"/>
    <cellStyle name="Accent4 2 10 3" xfId="17571" xr:uid="{00000000-0005-0000-0000-00008A3E0000}"/>
    <cellStyle name="Accent4 2 11" xfId="2023" xr:uid="{00000000-0005-0000-0000-00008B3E0000}"/>
    <cellStyle name="Accent4 2 11 2" xfId="17574" xr:uid="{00000000-0005-0000-0000-00008C3E0000}"/>
    <cellStyle name="Accent4 2 11 3" xfId="17573" xr:uid="{00000000-0005-0000-0000-00008D3E0000}"/>
    <cellStyle name="Accent4 2 12" xfId="2397" xr:uid="{00000000-0005-0000-0000-00008E3E0000}"/>
    <cellStyle name="Accent4 2 12 2" xfId="17576" xr:uid="{00000000-0005-0000-0000-00008F3E0000}"/>
    <cellStyle name="Accent4 2 12 3" xfId="17575" xr:uid="{00000000-0005-0000-0000-0000903E0000}"/>
    <cellStyle name="Accent4 2 13" xfId="2770" xr:uid="{00000000-0005-0000-0000-0000913E0000}"/>
    <cellStyle name="Accent4 2 13 2" xfId="17578" xr:uid="{00000000-0005-0000-0000-0000923E0000}"/>
    <cellStyle name="Accent4 2 13 3" xfId="17577" xr:uid="{00000000-0005-0000-0000-0000933E0000}"/>
    <cellStyle name="Accent4 2 14" xfId="3144" xr:uid="{00000000-0005-0000-0000-0000943E0000}"/>
    <cellStyle name="Accent4 2 14 2" xfId="17580" xr:uid="{00000000-0005-0000-0000-0000953E0000}"/>
    <cellStyle name="Accent4 2 14 3" xfId="17579" xr:uid="{00000000-0005-0000-0000-0000963E0000}"/>
    <cellStyle name="Accent4 2 15" xfId="3515" xr:uid="{00000000-0005-0000-0000-0000973E0000}"/>
    <cellStyle name="Accent4 2 15 2" xfId="17582" xr:uid="{00000000-0005-0000-0000-0000983E0000}"/>
    <cellStyle name="Accent4 2 15 3" xfId="17581" xr:uid="{00000000-0005-0000-0000-0000993E0000}"/>
    <cellStyle name="Accent4 2 16" xfId="3653" xr:uid="{00000000-0005-0000-0000-00009A3E0000}"/>
    <cellStyle name="Accent4 2 16 2" xfId="17584" xr:uid="{00000000-0005-0000-0000-00009B3E0000}"/>
    <cellStyle name="Accent4 2 16 3" xfId="17583" xr:uid="{00000000-0005-0000-0000-00009C3E0000}"/>
    <cellStyle name="Accent4 2 17" xfId="17585" xr:uid="{00000000-0005-0000-0000-00009D3E0000}"/>
    <cellStyle name="Accent4 2 17 2" xfId="17586" xr:uid="{00000000-0005-0000-0000-00009E3E0000}"/>
    <cellStyle name="Accent4 2 18" xfId="17587" xr:uid="{00000000-0005-0000-0000-00009F3E0000}"/>
    <cellStyle name="Accent4 2 19" xfId="17570" xr:uid="{00000000-0005-0000-0000-0000A03E0000}"/>
    <cellStyle name="Accent4 2 2" xfId="133" xr:uid="{00000000-0005-0000-0000-0000A13E0000}"/>
    <cellStyle name="Accent4 2 2 2" xfId="182" xr:uid="{00000000-0005-0000-0000-0000A23E0000}"/>
    <cellStyle name="Accent4 2 2 2 2" xfId="17590" xr:uid="{00000000-0005-0000-0000-0000A33E0000}"/>
    <cellStyle name="Accent4 2 2 2 3" xfId="17589" xr:uid="{00000000-0005-0000-0000-0000A43E0000}"/>
    <cellStyle name="Accent4 2 2 3" xfId="346" xr:uid="{00000000-0005-0000-0000-0000A53E0000}"/>
    <cellStyle name="Accent4 2 2 3 2" xfId="17592" xr:uid="{00000000-0005-0000-0000-0000A63E0000}"/>
    <cellStyle name="Accent4 2 2 3 3" xfId="17591" xr:uid="{00000000-0005-0000-0000-0000A73E0000}"/>
    <cellStyle name="Accent4 2 2 4" xfId="2168" xr:uid="{00000000-0005-0000-0000-0000A83E0000}"/>
    <cellStyle name="Accent4 2 2 4 2" xfId="17594" xr:uid="{00000000-0005-0000-0000-0000A93E0000}"/>
    <cellStyle name="Accent4 2 2 4 3" xfId="17593" xr:uid="{00000000-0005-0000-0000-0000AA3E0000}"/>
    <cellStyle name="Accent4 2 2 5" xfId="2542" xr:uid="{00000000-0005-0000-0000-0000AB3E0000}"/>
    <cellStyle name="Accent4 2 2 5 2" xfId="17596" xr:uid="{00000000-0005-0000-0000-0000AC3E0000}"/>
    <cellStyle name="Accent4 2 2 5 3" xfId="17595" xr:uid="{00000000-0005-0000-0000-0000AD3E0000}"/>
    <cellStyle name="Accent4 2 2 6" xfId="2914" xr:uid="{00000000-0005-0000-0000-0000AE3E0000}"/>
    <cellStyle name="Accent4 2 2 6 2" xfId="17598" xr:uid="{00000000-0005-0000-0000-0000AF3E0000}"/>
    <cellStyle name="Accent4 2 2 6 3" xfId="17597" xr:uid="{00000000-0005-0000-0000-0000B03E0000}"/>
    <cellStyle name="Accent4 2 2 7" xfId="3286" xr:uid="{00000000-0005-0000-0000-0000B13E0000}"/>
    <cellStyle name="Accent4 2 2 7 2" xfId="17600" xr:uid="{00000000-0005-0000-0000-0000B23E0000}"/>
    <cellStyle name="Accent4 2 2 7 3" xfId="17599" xr:uid="{00000000-0005-0000-0000-0000B33E0000}"/>
    <cellStyle name="Accent4 2 2 8" xfId="17601" xr:uid="{00000000-0005-0000-0000-0000B43E0000}"/>
    <cellStyle name="Accent4 2 2 9" xfId="17588" xr:uid="{00000000-0005-0000-0000-0000B53E0000}"/>
    <cellStyle name="Accent4 2 20" xfId="24487" xr:uid="{00000000-0005-0000-0000-0000B63E0000}"/>
    <cellStyle name="Accent4 2 3" xfId="298" xr:uid="{00000000-0005-0000-0000-0000B73E0000}"/>
    <cellStyle name="Accent4 2 3 2" xfId="1344" xr:uid="{00000000-0005-0000-0000-0000B83E0000}"/>
    <cellStyle name="Accent4 2 3 2 2" xfId="17603" xr:uid="{00000000-0005-0000-0000-0000B93E0000}"/>
    <cellStyle name="Accent4 2 3 3" xfId="17602" xr:uid="{00000000-0005-0000-0000-0000BA3E0000}"/>
    <cellStyle name="Accent4 2 4" xfId="442" xr:uid="{00000000-0005-0000-0000-0000BB3E0000}"/>
    <cellStyle name="Accent4 2 4 2" xfId="17605" xr:uid="{00000000-0005-0000-0000-0000BC3E0000}"/>
    <cellStyle name="Accent4 2 4 3" xfId="17604" xr:uid="{00000000-0005-0000-0000-0000BD3E0000}"/>
    <cellStyle name="Accent4 2 5" xfId="582" xr:uid="{00000000-0005-0000-0000-0000BE3E0000}"/>
    <cellStyle name="Accent4 2 5 2" xfId="17607" xr:uid="{00000000-0005-0000-0000-0000BF3E0000}"/>
    <cellStyle name="Accent4 2 5 3" xfId="17606" xr:uid="{00000000-0005-0000-0000-0000C03E0000}"/>
    <cellStyle name="Accent4 2 6" xfId="726" xr:uid="{00000000-0005-0000-0000-0000C13E0000}"/>
    <cellStyle name="Accent4 2 6 2" xfId="17609" xr:uid="{00000000-0005-0000-0000-0000C23E0000}"/>
    <cellStyle name="Accent4 2 6 3" xfId="17608" xr:uid="{00000000-0005-0000-0000-0000C33E0000}"/>
    <cellStyle name="Accent4 2 7" xfId="727" xr:uid="{00000000-0005-0000-0000-0000C43E0000}"/>
    <cellStyle name="Accent4 2 7 2" xfId="17611" xr:uid="{00000000-0005-0000-0000-0000C53E0000}"/>
    <cellStyle name="Accent4 2 7 3" xfId="17610" xr:uid="{00000000-0005-0000-0000-0000C63E0000}"/>
    <cellStyle name="Accent4 2 8" xfId="863" xr:uid="{00000000-0005-0000-0000-0000C73E0000}"/>
    <cellStyle name="Accent4 2 8 2" xfId="1417" xr:uid="{00000000-0005-0000-0000-0000C83E0000}"/>
    <cellStyle name="Accent4 2 8 2 2" xfId="17613" xr:uid="{00000000-0005-0000-0000-0000C93E0000}"/>
    <cellStyle name="Accent4 2 8 3" xfId="17612" xr:uid="{00000000-0005-0000-0000-0000CA3E0000}"/>
    <cellStyle name="Accent4 2 9" xfId="964" xr:uid="{00000000-0005-0000-0000-0000CB3E0000}"/>
    <cellStyle name="Accent4 2 9 2" xfId="1560" xr:uid="{00000000-0005-0000-0000-0000CC3E0000}"/>
    <cellStyle name="Accent4 2 9 2 2" xfId="17615" xr:uid="{00000000-0005-0000-0000-0000CD3E0000}"/>
    <cellStyle name="Accent4 2 9 3" xfId="17614" xr:uid="{00000000-0005-0000-0000-0000CE3E0000}"/>
    <cellStyle name="Accent4 3" xfId="223" xr:uid="{00000000-0005-0000-0000-0000CF3E0000}"/>
    <cellStyle name="Accent4 3 10" xfId="3696" xr:uid="{00000000-0005-0000-0000-0000D03E0000}"/>
    <cellStyle name="Accent4 3 10 2" xfId="17618" xr:uid="{00000000-0005-0000-0000-0000D13E0000}"/>
    <cellStyle name="Accent4 3 10 3" xfId="17617" xr:uid="{00000000-0005-0000-0000-0000D23E0000}"/>
    <cellStyle name="Accent4 3 11" xfId="17619" xr:uid="{00000000-0005-0000-0000-0000D33E0000}"/>
    <cellStyle name="Accent4 3 11 2" xfId="17620" xr:uid="{00000000-0005-0000-0000-0000D43E0000}"/>
    <cellStyle name="Accent4 3 12" xfId="17621" xr:uid="{00000000-0005-0000-0000-0000D53E0000}"/>
    <cellStyle name="Accent4 3 13" xfId="17616" xr:uid="{00000000-0005-0000-0000-0000D63E0000}"/>
    <cellStyle name="Accent4 3 2" xfId="1469" xr:uid="{00000000-0005-0000-0000-0000D73E0000}"/>
    <cellStyle name="Accent4 3 2 2" xfId="1834" xr:uid="{00000000-0005-0000-0000-0000D83E0000}"/>
    <cellStyle name="Accent4 3 2 2 2" xfId="17624" xr:uid="{00000000-0005-0000-0000-0000D93E0000}"/>
    <cellStyle name="Accent4 3 2 2 3" xfId="17623" xr:uid="{00000000-0005-0000-0000-0000DA3E0000}"/>
    <cellStyle name="Accent4 3 2 3" xfId="2209" xr:uid="{00000000-0005-0000-0000-0000DB3E0000}"/>
    <cellStyle name="Accent4 3 2 3 2" xfId="17626" xr:uid="{00000000-0005-0000-0000-0000DC3E0000}"/>
    <cellStyle name="Accent4 3 2 3 3" xfId="17625" xr:uid="{00000000-0005-0000-0000-0000DD3E0000}"/>
    <cellStyle name="Accent4 3 2 4" xfId="2583" xr:uid="{00000000-0005-0000-0000-0000DE3E0000}"/>
    <cellStyle name="Accent4 3 2 4 2" xfId="17628" xr:uid="{00000000-0005-0000-0000-0000DF3E0000}"/>
    <cellStyle name="Accent4 3 2 4 3" xfId="17627" xr:uid="{00000000-0005-0000-0000-0000E03E0000}"/>
    <cellStyle name="Accent4 3 2 5" xfId="2955" xr:uid="{00000000-0005-0000-0000-0000E13E0000}"/>
    <cellStyle name="Accent4 3 2 5 2" xfId="17630" xr:uid="{00000000-0005-0000-0000-0000E23E0000}"/>
    <cellStyle name="Accent4 3 2 5 3" xfId="17629" xr:uid="{00000000-0005-0000-0000-0000E33E0000}"/>
    <cellStyle name="Accent4 3 2 6" xfId="3327" xr:uid="{00000000-0005-0000-0000-0000E43E0000}"/>
    <cellStyle name="Accent4 3 2 6 2" xfId="17632" xr:uid="{00000000-0005-0000-0000-0000E53E0000}"/>
    <cellStyle name="Accent4 3 2 6 3" xfId="17631" xr:uid="{00000000-0005-0000-0000-0000E63E0000}"/>
    <cellStyle name="Accent4 3 2 7" xfId="17633" xr:uid="{00000000-0005-0000-0000-0000E73E0000}"/>
    <cellStyle name="Accent4 3 2 8" xfId="17622" xr:uid="{00000000-0005-0000-0000-0000E83E0000}"/>
    <cellStyle name="Accent4 3 3" xfId="1596" xr:uid="{00000000-0005-0000-0000-0000E93E0000}"/>
    <cellStyle name="Accent4 3 3 2" xfId="1911" xr:uid="{00000000-0005-0000-0000-0000EA3E0000}"/>
    <cellStyle name="Accent4 3 3 2 2" xfId="17636" xr:uid="{00000000-0005-0000-0000-0000EB3E0000}"/>
    <cellStyle name="Accent4 3 3 2 3" xfId="17635" xr:uid="{00000000-0005-0000-0000-0000EC3E0000}"/>
    <cellStyle name="Accent4 3 3 3" xfId="2286" xr:uid="{00000000-0005-0000-0000-0000ED3E0000}"/>
    <cellStyle name="Accent4 3 3 3 2" xfId="17638" xr:uid="{00000000-0005-0000-0000-0000EE3E0000}"/>
    <cellStyle name="Accent4 3 3 3 3" xfId="17637" xr:uid="{00000000-0005-0000-0000-0000EF3E0000}"/>
    <cellStyle name="Accent4 3 3 4" xfId="2659" xr:uid="{00000000-0005-0000-0000-0000F03E0000}"/>
    <cellStyle name="Accent4 3 3 4 2" xfId="17640" xr:uid="{00000000-0005-0000-0000-0000F13E0000}"/>
    <cellStyle name="Accent4 3 3 4 3" xfId="17639" xr:uid="{00000000-0005-0000-0000-0000F23E0000}"/>
    <cellStyle name="Accent4 3 3 5" xfId="3032" xr:uid="{00000000-0005-0000-0000-0000F33E0000}"/>
    <cellStyle name="Accent4 3 3 5 2" xfId="17642" xr:uid="{00000000-0005-0000-0000-0000F43E0000}"/>
    <cellStyle name="Accent4 3 3 5 3" xfId="17641" xr:uid="{00000000-0005-0000-0000-0000F53E0000}"/>
    <cellStyle name="Accent4 3 3 6" xfId="3403" xr:uid="{00000000-0005-0000-0000-0000F63E0000}"/>
    <cellStyle name="Accent4 3 3 6 2" xfId="17644" xr:uid="{00000000-0005-0000-0000-0000F73E0000}"/>
    <cellStyle name="Accent4 3 3 6 3" xfId="17643" xr:uid="{00000000-0005-0000-0000-0000F83E0000}"/>
    <cellStyle name="Accent4 3 3 7" xfId="17645" xr:uid="{00000000-0005-0000-0000-0000F93E0000}"/>
    <cellStyle name="Accent4 3 3 8" xfId="17634" xr:uid="{00000000-0005-0000-0000-0000FA3E0000}"/>
    <cellStyle name="Accent4 3 4" xfId="1733" xr:uid="{00000000-0005-0000-0000-0000FB3E0000}"/>
    <cellStyle name="Accent4 3 4 2" xfId="1955" xr:uid="{00000000-0005-0000-0000-0000FC3E0000}"/>
    <cellStyle name="Accent4 3 4 2 2" xfId="17648" xr:uid="{00000000-0005-0000-0000-0000FD3E0000}"/>
    <cellStyle name="Accent4 3 4 2 3" xfId="17647" xr:uid="{00000000-0005-0000-0000-0000FE3E0000}"/>
    <cellStyle name="Accent4 3 4 3" xfId="2330" xr:uid="{00000000-0005-0000-0000-0000FF3E0000}"/>
    <cellStyle name="Accent4 3 4 3 2" xfId="17650" xr:uid="{00000000-0005-0000-0000-0000003F0000}"/>
    <cellStyle name="Accent4 3 4 3 3" xfId="17649" xr:uid="{00000000-0005-0000-0000-0000013F0000}"/>
    <cellStyle name="Accent4 3 4 4" xfId="2703" xr:uid="{00000000-0005-0000-0000-0000023F0000}"/>
    <cellStyle name="Accent4 3 4 4 2" xfId="17652" xr:uid="{00000000-0005-0000-0000-0000033F0000}"/>
    <cellStyle name="Accent4 3 4 4 3" xfId="17651" xr:uid="{00000000-0005-0000-0000-0000043F0000}"/>
    <cellStyle name="Accent4 3 4 5" xfId="3076" xr:uid="{00000000-0005-0000-0000-0000053F0000}"/>
    <cellStyle name="Accent4 3 4 5 2" xfId="17654" xr:uid="{00000000-0005-0000-0000-0000063F0000}"/>
    <cellStyle name="Accent4 3 4 5 3" xfId="17653" xr:uid="{00000000-0005-0000-0000-0000073F0000}"/>
    <cellStyle name="Accent4 3 4 6" xfId="3447" xr:uid="{00000000-0005-0000-0000-0000083F0000}"/>
    <cellStyle name="Accent4 3 4 6 2" xfId="17656" xr:uid="{00000000-0005-0000-0000-0000093F0000}"/>
    <cellStyle name="Accent4 3 4 6 3" xfId="17655" xr:uid="{00000000-0005-0000-0000-00000A3F0000}"/>
    <cellStyle name="Accent4 3 4 7" xfId="17657" xr:uid="{00000000-0005-0000-0000-00000B3F0000}"/>
    <cellStyle name="Accent4 3 4 8" xfId="17646" xr:uid="{00000000-0005-0000-0000-00000C3F0000}"/>
    <cellStyle name="Accent4 3 5" xfId="2068" xr:uid="{00000000-0005-0000-0000-00000D3F0000}"/>
    <cellStyle name="Accent4 3 5 2" xfId="17659" xr:uid="{00000000-0005-0000-0000-00000E3F0000}"/>
    <cellStyle name="Accent4 3 5 3" xfId="17658" xr:uid="{00000000-0005-0000-0000-00000F3F0000}"/>
    <cellStyle name="Accent4 3 6" xfId="2442" xr:uid="{00000000-0005-0000-0000-0000103F0000}"/>
    <cellStyle name="Accent4 3 6 2" xfId="17661" xr:uid="{00000000-0005-0000-0000-0000113F0000}"/>
    <cellStyle name="Accent4 3 6 3" xfId="17660" xr:uid="{00000000-0005-0000-0000-0000123F0000}"/>
    <cellStyle name="Accent4 3 7" xfId="2814" xr:uid="{00000000-0005-0000-0000-0000133F0000}"/>
    <cellStyle name="Accent4 3 7 2" xfId="17663" xr:uid="{00000000-0005-0000-0000-0000143F0000}"/>
    <cellStyle name="Accent4 3 7 3" xfId="17662" xr:uid="{00000000-0005-0000-0000-0000153F0000}"/>
    <cellStyle name="Accent4 3 8" xfId="3185" xr:uid="{00000000-0005-0000-0000-0000163F0000}"/>
    <cellStyle name="Accent4 3 8 2" xfId="17665" xr:uid="{00000000-0005-0000-0000-0000173F0000}"/>
    <cellStyle name="Accent4 3 8 3" xfId="17664" xr:uid="{00000000-0005-0000-0000-0000183F0000}"/>
    <cellStyle name="Accent4 3 9" xfId="3560" xr:uid="{00000000-0005-0000-0000-0000193F0000}"/>
    <cellStyle name="Accent4 3 9 2" xfId="17667" xr:uid="{00000000-0005-0000-0000-00001A3F0000}"/>
    <cellStyle name="Accent4 3 9 3" xfId="17666" xr:uid="{00000000-0005-0000-0000-00001B3F0000}"/>
    <cellStyle name="Accent4 4" xfId="256" xr:uid="{00000000-0005-0000-0000-00001C3F0000}"/>
    <cellStyle name="Accent4 4 10" xfId="3740" xr:uid="{00000000-0005-0000-0000-00001D3F0000}"/>
    <cellStyle name="Accent4 4 10 2" xfId="17670" xr:uid="{00000000-0005-0000-0000-00001E3F0000}"/>
    <cellStyle name="Accent4 4 10 3" xfId="17669" xr:uid="{00000000-0005-0000-0000-00001F3F0000}"/>
    <cellStyle name="Accent4 4 11" xfId="1305" xr:uid="{00000000-0005-0000-0000-0000203F0000}"/>
    <cellStyle name="Accent4 4 11 2" xfId="17672" xr:uid="{00000000-0005-0000-0000-0000213F0000}"/>
    <cellStyle name="Accent4 4 11 3" xfId="17671" xr:uid="{00000000-0005-0000-0000-0000223F0000}"/>
    <cellStyle name="Accent4 4 12" xfId="17673" xr:uid="{00000000-0005-0000-0000-0000233F0000}"/>
    <cellStyle name="Accent4 4 13" xfId="17668" xr:uid="{00000000-0005-0000-0000-0000243F0000}"/>
    <cellStyle name="Accent4 4 2" xfId="1514" xr:uid="{00000000-0005-0000-0000-0000253F0000}"/>
    <cellStyle name="Accent4 4 2 2" xfId="17675" xr:uid="{00000000-0005-0000-0000-0000263F0000}"/>
    <cellStyle name="Accent4 4 2 3" xfId="17674" xr:uid="{00000000-0005-0000-0000-0000273F0000}"/>
    <cellStyle name="Accent4 4 3" xfId="1639" xr:uid="{00000000-0005-0000-0000-0000283F0000}"/>
    <cellStyle name="Accent4 4 3 2" xfId="17677" xr:uid="{00000000-0005-0000-0000-0000293F0000}"/>
    <cellStyle name="Accent4 4 3 3" xfId="17676" xr:uid="{00000000-0005-0000-0000-00002A3F0000}"/>
    <cellStyle name="Accent4 4 4" xfId="1740" xr:uid="{00000000-0005-0000-0000-00002B3F0000}"/>
    <cellStyle name="Accent4 4 4 2" xfId="17679" xr:uid="{00000000-0005-0000-0000-00002C3F0000}"/>
    <cellStyle name="Accent4 4 4 3" xfId="17678" xr:uid="{00000000-0005-0000-0000-00002D3F0000}"/>
    <cellStyle name="Accent4 4 5" xfId="2075" xr:uid="{00000000-0005-0000-0000-00002E3F0000}"/>
    <cellStyle name="Accent4 4 5 2" xfId="17681" xr:uid="{00000000-0005-0000-0000-00002F3F0000}"/>
    <cellStyle name="Accent4 4 5 3" xfId="17680" xr:uid="{00000000-0005-0000-0000-0000303F0000}"/>
    <cellStyle name="Accent4 4 6" xfId="2449" xr:uid="{00000000-0005-0000-0000-0000313F0000}"/>
    <cellStyle name="Accent4 4 6 2" xfId="17683" xr:uid="{00000000-0005-0000-0000-0000323F0000}"/>
    <cellStyle name="Accent4 4 6 3" xfId="17682" xr:uid="{00000000-0005-0000-0000-0000333F0000}"/>
    <cellStyle name="Accent4 4 7" xfId="2821" xr:uid="{00000000-0005-0000-0000-0000343F0000}"/>
    <cellStyle name="Accent4 4 7 2" xfId="17685" xr:uid="{00000000-0005-0000-0000-0000353F0000}"/>
    <cellStyle name="Accent4 4 7 3" xfId="17684" xr:uid="{00000000-0005-0000-0000-0000363F0000}"/>
    <cellStyle name="Accent4 4 8" xfId="3192" xr:uid="{00000000-0005-0000-0000-0000373F0000}"/>
    <cellStyle name="Accent4 4 8 2" xfId="17687" xr:uid="{00000000-0005-0000-0000-0000383F0000}"/>
    <cellStyle name="Accent4 4 8 3" xfId="17686" xr:uid="{00000000-0005-0000-0000-0000393F0000}"/>
    <cellStyle name="Accent4 4 9" xfId="3603" xr:uid="{00000000-0005-0000-0000-00003A3F0000}"/>
    <cellStyle name="Accent4 4 9 2" xfId="17689" xr:uid="{00000000-0005-0000-0000-00003B3F0000}"/>
    <cellStyle name="Accent4 4 9 3" xfId="17688" xr:uid="{00000000-0005-0000-0000-00003C3F0000}"/>
    <cellStyle name="Accent4 5" xfId="443" xr:uid="{00000000-0005-0000-0000-00003D3F0000}"/>
    <cellStyle name="Accent4 5 2" xfId="1855" xr:uid="{00000000-0005-0000-0000-00003E3F0000}"/>
    <cellStyle name="Accent4 5 2 2" xfId="17692" xr:uid="{00000000-0005-0000-0000-00003F3F0000}"/>
    <cellStyle name="Accent4 5 2 3" xfId="17691" xr:uid="{00000000-0005-0000-0000-0000403F0000}"/>
    <cellStyle name="Accent4 5 3" xfId="2230" xr:uid="{00000000-0005-0000-0000-0000413F0000}"/>
    <cellStyle name="Accent4 5 3 2" xfId="17694" xr:uid="{00000000-0005-0000-0000-0000423F0000}"/>
    <cellStyle name="Accent4 5 3 3" xfId="17693" xr:uid="{00000000-0005-0000-0000-0000433F0000}"/>
    <cellStyle name="Accent4 5 4" xfId="2604" xr:uid="{00000000-0005-0000-0000-0000443F0000}"/>
    <cellStyle name="Accent4 5 4 2" xfId="17696" xr:uid="{00000000-0005-0000-0000-0000453F0000}"/>
    <cellStyle name="Accent4 5 4 3" xfId="17695" xr:uid="{00000000-0005-0000-0000-0000463F0000}"/>
    <cellStyle name="Accent4 5 5" xfId="2976" xr:uid="{00000000-0005-0000-0000-0000473F0000}"/>
    <cellStyle name="Accent4 5 5 2" xfId="17698" xr:uid="{00000000-0005-0000-0000-0000483F0000}"/>
    <cellStyle name="Accent4 5 5 3" xfId="17697" xr:uid="{00000000-0005-0000-0000-0000493F0000}"/>
    <cellStyle name="Accent4 5 6" xfId="3348" xr:uid="{00000000-0005-0000-0000-00004A3F0000}"/>
    <cellStyle name="Accent4 5 6 2" xfId="17700" xr:uid="{00000000-0005-0000-0000-00004B3F0000}"/>
    <cellStyle name="Accent4 5 6 3" xfId="17699" xr:uid="{00000000-0005-0000-0000-00004C3F0000}"/>
    <cellStyle name="Accent4 5 7" xfId="17701" xr:uid="{00000000-0005-0000-0000-00004D3F0000}"/>
    <cellStyle name="Accent4 5 7 2" xfId="17702" xr:uid="{00000000-0005-0000-0000-00004E3F0000}"/>
    <cellStyle name="Accent4 5 8" xfId="17703" xr:uid="{00000000-0005-0000-0000-00004F3F0000}"/>
    <cellStyle name="Accent4 5 9" xfId="17690" xr:uid="{00000000-0005-0000-0000-0000503F0000}"/>
    <cellStyle name="Accent4 6" xfId="444" xr:uid="{00000000-0005-0000-0000-0000513F0000}"/>
    <cellStyle name="Accent4 6 10" xfId="17704" xr:uid="{00000000-0005-0000-0000-0000523F0000}"/>
    <cellStyle name="Accent4 6 2" xfId="1990" xr:uid="{00000000-0005-0000-0000-0000533F0000}"/>
    <cellStyle name="Accent4 6 2 2" xfId="17706" xr:uid="{00000000-0005-0000-0000-0000543F0000}"/>
    <cellStyle name="Accent4 6 2 3" xfId="17705" xr:uid="{00000000-0005-0000-0000-0000553F0000}"/>
    <cellStyle name="Accent4 6 3" xfId="2365" xr:uid="{00000000-0005-0000-0000-0000563F0000}"/>
    <cellStyle name="Accent4 6 3 2" xfId="17708" xr:uid="{00000000-0005-0000-0000-0000573F0000}"/>
    <cellStyle name="Accent4 6 3 3" xfId="17707" xr:uid="{00000000-0005-0000-0000-0000583F0000}"/>
    <cellStyle name="Accent4 6 4" xfId="2738" xr:uid="{00000000-0005-0000-0000-0000593F0000}"/>
    <cellStyle name="Accent4 6 4 2" xfId="17710" xr:uid="{00000000-0005-0000-0000-00005A3F0000}"/>
    <cellStyle name="Accent4 6 4 3" xfId="17709" xr:uid="{00000000-0005-0000-0000-00005B3F0000}"/>
    <cellStyle name="Accent4 6 5" xfId="3111" xr:uid="{00000000-0005-0000-0000-00005C3F0000}"/>
    <cellStyle name="Accent4 6 5 2" xfId="17712" xr:uid="{00000000-0005-0000-0000-00005D3F0000}"/>
    <cellStyle name="Accent4 6 5 3" xfId="17711" xr:uid="{00000000-0005-0000-0000-00005E3F0000}"/>
    <cellStyle name="Accent4 6 6" xfId="3482" xr:uid="{00000000-0005-0000-0000-00005F3F0000}"/>
    <cellStyle name="Accent4 6 6 2" xfId="17714" xr:uid="{00000000-0005-0000-0000-0000603F0000}"/>
    <cellStyle name="Accent4 6 6 3" xfId="17713" xr:uid="{00000000-0005-0000-0000-0000613F0000}"/>
    <cellStyle name="Accent4 6 7" xfId="3788" xr:uid="{00000000-0005-0000-0000-0000623F0000}"/>
    <cellStyle name="Accent4 6 7 2" xfId="17716" xr:uid="{00000000-0005-0000-0000-0000633F0000}"/>
    <cellStyle name="Accent4 6 7 3" xfId="17715" xr:uid="{00000000-0005-0000-0000-0000643F0000}"/>
    <cellStyle name="Accent4 6 8" xfId="17717" xr:uid="{00000000-0005-0000-0000-0000653F0000}"/>
    <cellStyle name="Accent4 6 8 2" xfId="17718" xr:uid="{00000000-0005-0000-0000-0000663F0000}"/>
    <cellStyle name="Accent4 6 9" xfId="17719" xr:uid="{00000000-0005-0000-0000-0000673F0000}"/>
    <cellStyle name="Accent4 7" xfId="445" xr:uid="{00000000-0005-0000-0000-0000683F0000}"/>
    <cellStyle name="Accent4 7 2" xfId="17721" xr:uid="{00000000-0005-0000-0000-0000693F0000}"/>
    <cellStyle name="Accent4 7 3" xfId="17720" xr:uid="{00000000-0005-0000-0000-00006A3F0000}"/>
    <cellStyle name="Accent4 8" xfId="583" xr:uid="{00000000-0005-0000-0000-00006B3F0000}"/>
    <cellStyle name="Accent4 8 2" xfId="17723" xr:uid="{00000000-0005-0000-0000-00006C3F0000}"/>
    <cellStyle name="Accent4 8 3" xfId="17722" xr:uid="{00000000-0005-0000-0000-00006D3F0000}"/>
    <cellStyle name="Accent4 9" xfId="584" xr:uid="{00000000-0005-0000-0000-00006E3F0000}"/>
    <cellStyle name="Accent4 9 2" xfId="17725" xr:uid="{00000000-0005-0000-0000-00006F3F0000}"/>
    <cellStyle name="Accent4 9 3" xfId="17724" xr:uid="{00000000-0005-0000-0000-0000703F0000}"/>
    <cellStyle name="Accent5 10" xfId="728" xr:uid="{00000000-0005-0000-0000-0000713F0000}"/>
    <cellStyle name="Accent5 10 2" xfId="17728" xr:uid="{00000000-0005-0000-0000-0000723F0000}"/>
    <cellStyle name="Accent5 10 3" xfId="17727" xr:uid="{00000000-0005-0000-0000-0000733F0000}"/>
    <cellStyle name="Accent5 11" xfId="729" xr:uid="{00000000-0005-0000-0000-0000743F0000}"/>
    <cellStyle name="Accent5 11 2" xfId="17730" xr:uid="{00000000-0005-0000-0000-0000753F0000}"/>
    <cellStyle name="Accent5 11 3" xfId="17729" xr:uid="{00000000-0005-0000-0000-0000763F0000}"/>
    <cellStyle name="Accent5 12" xfId="864" xr:uid="{00000000-0005-0000-0000-0000773F0000}"/>
    <cellStyle name="Accent5 12 2" xfId="17731" xr:uid="{00000000-0005-0000-0000-0000783F0000}"/>
    <cellStyle name="Accent5 13" xfId="865" xr:uid="{00000000-0005-0000-0000-0000793F0000}"/>
    <cellStyle name="Accent5 13 2" xfId="17726" xr:uid="{00000000-0005-0000-0000-00007A3F0000}"/>
    <cellStyle name="Accent5 14" xfId="965" xr:uid="{00000000-0005-0000-0000-00007B3F0000}"/>
    <cellStyle name="Accent5 2" xfId="90" xr:uid="{00000000-0005-0000-0000-00007C3F0000}"/>
    <cellStyle name="Accent5 2 10" xfId="1689" xr:uid="{00000000-0005-0000-0000-00007D3F0000}"/>
    <cellStyle name="Accent5 2 10 2" xfId="17734" xr:uid="{00000000-0005-0000-0000-00007E3F0000}"/>
    <cellStyle name="Accent5 2 10 3" xfId="17733" xr:uid="{00000000-0005-0000-0000-00007F3F0000}"/>
    <cellStyle name="Accent5 2 11" xfId="2024" xr:uid="{00000000-0005-0000-0000-0000803F0000}"/>
    <cellStyle name="Accent5 2 11 2" xfId="17736" xr:uid="{00000000-0005-0000-0000-0000813F0000}"/>
    <cellStyle name="Accent5 2 11 3" xfId="17735" xr:uid="{00000000-0005-0000-0000-0000823F0000}"/>
    <cellStyle name="Accent5 2 12" xfId="2398" xr:uid="{00000000-0005-0000-0000-0000833F0000}"/>
    <cellStyle name="Accent5 2 12 2" xfId="17738" xr:uid="{00000000-0005-0000-0000-0000843F0000}"/>
    <cellStyle name="Accent5 2 12 3" xfId="17737" xr:uid="{00000000-0005-0000-0000-0000853F0000}"/>
    <cellStyle name="Accent5 2 13" xfId="2771" xr:uid="{00000000-0005-0000-0000-0000863F0000}"/>
    <cellStyle name="Accent5 2 13 2" xfId="17740" xr:uid="{00000000-0005-0000-0000-0000873F0000}"/>
    <cellStyle name="Accent5 2 13 3" xfId="17739" xr:uid="{00000000-0005-0000-0000-0000883F0000}"/>
    <cellStyle name="Accent5 2 14" xfId="3145" xr:uid="{00000000-0005-0000-0000-0000893F0000}"/>
    <cellStyle name="Accent5 2 14 2" xfId="17742" xr:uid="{00000000-0005-0000-0000-00008A3F0000}"/>
    <cellStyle name="Accent5 2 14 3" xfId="17741" xr:uid="{00000000-0005-0000-0000-00008B3F0000}"/>
    <cellStyle name="Accent5 2 15" xfId="3516" xr:uid="{00000000-0005-0000-0000-00008C3F0000}"/>
    <cellStyle name="Accent5 2 15 2" xfId="17744" xr:uid="{00000000-0005-0000-0000-00008D3F0000}"/>
    <cellStyle name="Accent5 2 15 3" xfId="17743" xr:uid="{00000000-0005-0000-0000-00008E3F0000}"/>
    <cellStyle name="Accent5 2 16" xfId="3654" xr:uid="{00000000-0005-0000-0000-00008F3F0000}"/>
    <cellStyle name="Accent5 2 16 2" xfId="17746" xr:uid="{00000000-0005-0000-0000-0000903F0000}"/>
    <cellStyle name="Accent5 2 16 3" xfId="17745" xr:uid="{00000000-0005-0000-0000-0000913F0000}"/>
    <cellStyle name="Accent5 2 17" xfId="17747" xr:uid="{00000000-0005-0000-0000-0000923F0000}"/>
    <cellStyle name="Accent5 2 17 2" xfId="17748" xr:uid="{00000000-0005-0000-0000-0000933F0000}"/>
    <cellStyle name="Accent5 2 18" xfId="17749" xr:uid="{00000000-0005-0000-0000-0000943F0000}"/>
    <cellStyle name="Accent5 2 19" xfId="17732" xr:uid="{00000000-0005-0000-0000-0000953F0000}"/>
    <cellStyle name="Accent5 2 2" xfId="134" xr:uid="{00000000-0005-0000-0000-0000963F0000}"/>
    <cellStyle name="Accent5 2 2 2" xfId="186" xr:uid="{00000000-0005-0000-0000-0000973F0000}"/>
    <cellStyle name="Accent5 2 2 2 2" xfId="17752" xr:uid="{00000000-0005-0000-0000-0000983F0000}"/>
    <cellStyle name="Accent5 2 2 2 3" xfId="17751" xr:uid="{00000000-0005-0000-0000-0000993F0000}"/>
    <cellStyle name="Accent5 2 2 3" xfId="350" xr:uid="{00000000-0005-0000-0000-00009A3F0000}"/>
    <cellStyle name="Accent5 2 2 3 2" xfId="17754" xr:uid="{00000000-0005-0000-0000-00009B3F0000}"/>
    <cellStyle name="Accent5 2 2 3 3" xfId="17753" xr:uid="{00000000-0005-0000-0000-00009C3F0000}"/>
    <cellStyle name="Accent5 2 2 4" xfId="2172" xr:uid="{00000000-0005-0000-0000-00009D3F0000}"/>
    <cellStyle name="Accent5 2 2 4 2" xfId="17756" xr:uid="{00000000-0005-0000-0000-00009E3F0000}"/>
    <cellStyle name="Accent5 2 2 4 3" xfId="17755" xr:uid="{00000000-0005-0000-0000-00009F3F0000}"/>
    <cellStyle name="Accent5 2 2 5" xfId="2546" xr:uid="{00000000-0005-0000-0000-0000A03F0000}"/>
    <cellStyle name="Accent5 2 2 5 2" xfId="17758" xr:uid="{00000000-0005-0000-0000-0000A13F0000}"/>
    <cellStyle name="Accent5 2 2 5 3" xfId="17757" xr:uid="{00000000-0005-0000-0000-0000A23F0000}"/>
    <cellStyle name="Accent5 2 2 6" xfId="2918" xr:uid="{00000000-0005-0000-0000-0000A33F0000}"/>
    <cellStyle name="Accent5 2 2 6 2" xfId="17760" xr:uid="{00000000-0005-0000-0000-0000A43F0000}"/>
    <cellStyle name="Accent5 2 2 6 3" xfId="17759" xr:uid="{00000000-0005-0000-0000-0000A53F0000}"/>
    <cellStyle name="Accent5 2 2 7" xfId="3290" xr:uid="{00000000-0005-0000-0000-0000A63F0000}"/>
    <cellStyle name="Accent5 2 2 7 2" xfId="17762" xr:uid="{00000000-0005-0000-0000-0000A73F0000}"/>
    <cellStyle name="Accent5 2 2 7 3" xfId="17761" xr:uid="{00000000-0005-0000-0000-0000A83F0000}"/>
    <cellStyle name="Accent5 2 2 8" xfId="17763" xr:uid="{00000000-0005-0000-0000-0000A93F0000}"/>
    <cellStyle name="Accent5 2 2 9" xfId="17750" xr:uid="{00000000-0005-0000-0000-0000AA3F0000}"/>
    <cellStyle name="Accent5 2 20" xfId="24488" xr:uid="{00000000-0005-0000-0000-0000AB3F0000}"/>
    <cellStyle name="Accent5 2 3" xfId="299" xr:uid="{00000000-0005-0000-0000-0000AC3F0000}"/>
    <cellStyle name="Accent5 2 3 2" xfId="1348" xr:uid="{00000000-0005-0000-0000-0000AD3F0000}"/>
    <cellStyle name="Accent5 2 3 2 2" xfId="17765" xr:uid="{00000000-0005-0000-0000-0000AE3F0000}"/>
    <cellStyle name="Accent5 2 3 3" xfId="17764" xr:uid="{00000000-0005-0000-0000-0000AF3F0000}"/>
    <cellStyle name="Accent5 2 4" xfId="446" xr:uid="{00000000-0005-0000-0000-0000B03F0000}"/>
    <cellStyle name="Accent5 2 4 2" xfId="17767" xr:uid="{00000000-0005-0000-0000-0000B13F0000}"/>
    <cellStyle name="Accent5 2 4 3" xfId="17766" xr:uid="{00000000-0005-0000-0000-0000B23F0000}"/>
    <cellStyle name="Accent5 2 5" xfId="585" xr:uid="{00000000-0005-0000-0000-0000B33F0000}"/>
    <cellStyle name="Accent5 2 5 2" xfId="17769" xr:uid="{00000000-0005-0000-0000-0000B43F0000}"/>
    <cellStyle name="Accent5 2 5 3" xfId="17768" xr:uid="{00000000-0005-0000-0000-0000B53F0000}"/>
    <cellStyle name="Accent5 2 6" xfId="730" xr:uid="{00000000-0005-0000-0000-0000B63F0000}"/>
    <cellStyle name="Accent5 2 6 2" xfId="17771" xr:uid="{00000000-0005-0000-0000-0000B73F0000}"/>
    <cellStyle name="Accent5 2 6 3" xfId="17770" xr:uid="{00000000-0005-0000-0000-0000B83F0000}"/>
    <cellStyle name="Accent5 2 7" xfId="731" xr:uid="{00000000-0005-0000-0000-0000B93F0000}"/>
    <cellStyle name="Accent5 2 7 2" xfId="17773" xr:uid="{00000000-0005-0000-0000-0000BA3F0000}"/>
    <cellStyle name="Accent5 2 7 3" xfId="17772" xr:uid="{00000000-0005-0000-0000-0000BB3F0000}"/>
    <cellStyle name="Accent5 2 8" xfId="866" xr:uid="{00000000-0005-0000-0000-0000BC3F0000}"/>
    <cellStyle name="Accent5 2 8 2" xfId="1418" xr:uid="{00000000-0005-0000-0000-0000BD3F0000}"/>
    <cellStyle name="Accent5 2 8 2 2" xfId="17775" xr:uid="{00000000-0005-0000-0000-0000BE3F0000}"/>
    <cellStyle name="Accent5 2 8 3" xfId="17774" xr:uid="{00000000-0005-0000-0000-0000BF3F0000}"/>
    <cellStyle name="Accent5 2 9" xfId="966" xr:uid="{00000000-0005-0000-0000-0000C03F0000}"/>
    <cellStyle name="Accent5 2 9 2" xfId="1559" xr:uid="{00000000-0005-0000-0000-0000C13F0000}"/>
    <cellStyle name="Accent5 2 9 2 2" xfId="17777" xr:uid="{00000000-0005-0000-0000-0000C23F0000}"/>
    <cellStyle name="Accent5 2 9 3" xfId="17776" xr:uid="{00000000-0005-0000-0000-0000C33F0000}"/>
    <cellStyle name="Accent5 3" xfId="227" xr:uid="{00000000-0005-0000-0000-0000C43F0000}"/>
    <cellStyle name="Accent5 3 10" xfId="3697" xr:uid="{00000000-0005-0000-0000-0000C53F0000}"/>
    <cellStyle name="Accent5 3 10 2" xfId="17780" xr:uid="{00000000-0005-0000-0000-0000C63F0000}"/>
    <cellStyle name="Accent5 3 10 3" xfId="17779" xr:uid="{00000000-0005-0000-0000-0000C73F0000}"/>
    <cellStyle name="Accent5 3 11" xfId="17781" xr:uid="{00000000-0005-0000-0000-0000C83F0000}"/>
    <cellStyle name="Accent5 3 11 2" xfId="17782" xr:uid="{00000000-0005-0000-0000-0000C93F0000}"/>
    <cellStyle name="Accent5 3 12" xfId="17783" xr:uid="{00000000-0005-0000-0000-0000CA3F0000}"/>
    <cellStyle name="Accent5 3 13" xfId="17778" xr:uid="{00000000-0005-0000-0000-0000CB3F0000}"/>
    <cellStyle name="Accent5 3 2" xfId="1470" xr:uid="{00000000-0005-0000-0000-0000CC3F0000}"/>
    <cellStyle name="Accent5 3 2 2" xfId="1838" xr:uid="{00000000-0005-0000-0000-0000CD3F0000}"/>
    <cellStyle name="Accent5 3 2 2 2" xfId="17786" xr:uid="{00000000-0005-0000-0000-0000CE3F0000}"/>
    <cellStyle name="Accent5 3 2 2 3" xfId="17785" xr:uid="{00000000-0005-0000-0000-0000CF3F0000}"/>
    <cellStyle name="Accent5 3 2 3" xfId="2213" xr:uid="{00000000-0005-0000-0000-0000D03F0000}"/>
    <cellStyle name="Accent5 3 2 3 2" xfId="17788" xr:uid="{00000000-0005-0000-0000-0000D13F0000}"/>
    <cellStyle name="Accent5 3 2 3 3" xfId="17787" xr:uid="{00000000-0005-0000-0000-0000D23F0000}"/>
    <cellStyle name="Accent5 3 2 4" xfId="2587" xr:uid="{00000000-0005-0000-0000-0000D33F0000}"/>
    <cellStyle name="Accent5 3 2 4 2" xfId="17790" xr:uid="{00000000-0005-0000-0000-0000D43F0000}"/>
    <cellStyle name="Accent5 3 2 4 3" xfId="17789" xr:uid="{00000000-0005-0000-0000-0000D53F0000}"/>
    <cellStyle name="Accent5 3 2 5" xfId="2959" xr:uid="{00000000-0005-0000-0000-0000D63F0000}"/>
    <cellStyle name="Accent5 3 2 5 2" xfId="17792" xr:uid="{00000000-0005-0000-0000-0000D73F0000}"/>
    <cellStyle name="Accent5 3 2 5 3" xfId="17791" xr:uid="{00000000-0005-0000-0000-0000D83F0000}"/>
    <cellStyle name="Accent5 3 2 6" xfId="3331" xr:uid="{00000000-0005-0000-0000-0000D93F0000}"/>
    <cellStyle name="Accent5 3 2 6 2" xfId="17794" xr:uid="{00000000-0005-0000-0000-0000DA3F0000}"/>
    <cellStyle name="Accent5 3 2 6 3" xfId="17793" xr:uid="{00000000-0005-0000-0000-0000DB3F0000}"/>
    <cellStyle name="Accent5 3 2 7" xfId="17795" xr:uid="{00000000-0005-0000-0000-0000DC3F0000}"/>
    <cellStyle name="Accent5 3 2 8" xfId="17784" xr:uid="{00000000-0005-0000-0000-0000DD3F0000}"/>
    <cellStyle name="Accent5 3 3" xfId="1597" xr:uid="{00000000-0005-0000-0000-0000DE3F0000}"/>
    <cellStyle name="Accent5 3 3 2" xfId="1915" xr:uid="{00000000-0005-0000-0000-0000DF3F0000}"/>
    <cellStyle name="Accent5 3 3 2 2" xfId="17798" xr:uid="{00000000-0005-0000-0000-0000E03F0000}"/>
    <cellStyle name="Accent5 3 3 2 3" xfId="17797" xr:uid="{00000000-0005-0000-0000-0000E13F0000}"/>
    <cellStyle name="Accent5 3 3 3" xfId="2290" xr:uid="{00000000-0005-0000-0000-0000E23F0000}"/>
    <cellStyle name="Accent5 3 3 3 2" xfId="17800" xr:uid="{00000000-0005-0000-0000-0000E33F0000}"/>
    <cellStyle name="Accent5 3 3 3 3" xfId="17799" xr:uid="{00000000-0005-0000-0000-0000E43F0000}"/>
    <cellStyle name="Accent5 3 3 4" xfId="2663" xr:uid="{00000000-0005-0000-0000-0000E53F0000}"/>
    <cellStyle name="Accent5 3 3 4 2" xfId="17802" xr:uid="{00000000-0005-0000-0000-0000E63F0000}"/>
    <cellStyle name="Accent5 3 3 4 3" xfId="17801" xr:uid="{00000000-0005-0000-0000-0000E73F0000}"/>
    <cellStyle name="Accent5 3 3 5" xfId="3036" xr:uid="{00000000-0005-0000-0000-0000E83F0000}"/>
    <cellStyle name="Accent5 3 3 5 2" xfId="17804" xr:uid="{00000000-0005-0000-0000-0000E93F0000}"/>
    <cellStyle name="Accent5 3 3 5 3" xfId="17803" xr:uid="{00000000-0005-0000-0000-0000EA3F0000}"/>
    <cellStyle name="Accent5 3 3 6" xfId="3407" xr:uid="{00000000-0005-0000-0000-0000EB3F0000}"/>
    <cellStyle name="Accent5 3 3 6 2" xfId="17806" xr:uid="{00000000-0005-0000-0000-0000EC3F0000}"/>
    <cellStyle name="Accent5 3 3 6 3" xfId="17805" xr:uid="{00000000-0005-0000-0000-0000ED3F0000}"/>
    <cellStyle name="Accent5 3 3 7" xfId="17807" xr:uid="{00000000-0005-0000-0000-0000EE3F0000}"/>
    <cellStyle name="Accent5 3 3 8" xfId="17796" xr:uid="{00000000-0005-0000-0000-0000EF3F0000}"/>
    <cellStyle name="Accent5 3 4" xfId="1734" xr:uid="{00000000-0005-0000-0000-0000F03F0000}"/>
    <cellStyle name="Accent5 3 4 2" xfId="1959" xr:uid="{00000000-0005-0000-0000-0000F13F0000}"/>
    <cellStyle name="Accent5 3 4 2 2" xfId="17810" xr:uid="{00000000-0005-0000-0000-0000F23F0000}"/>
    <cellStyle name="Accent5 3 4 2 3" xfId="17809" xr:uid="{00000000-0005-0000-0000-0000F33F0000}"/>
    <cellStyle name="Accent5 3 4 3" xfId="2334" xr:uid="{00000000-0005-0000-0000-0000F43F0000}"/>
    <cellStyle name="Accent5 3 4 3 2" xfId="17812" xr:uid="{00000000-0005-0000-0000-0000F53F0000}"/>
    <cellStyle name="Accent5 3 4 3 3" xfId="17811" xr:uid="{00000000-0005-0000-0000-0000F63F0000}"/>
    <cellStyle name="Accent5 3 4 4" xfId="2707" xr:uid="{00000000-0005-0000-0000-0000F73F0000}"/>
    <cellStyle name="Accent5 3 4 4 2" xfId="17814" xr:uid="{00000000-0005-0000-0000-0000F83F0000}"/>
    <cellStyle name="Accent5 3 4 4 3" xfId="17813" xr:uid="{00000000-0005-0000-0000-0000F93F0000}"/>
    <cellStyle name="Accent5 3 4 5" xfId="3080" xr:uid="{00000000-0005-0000-0000-0000FA3F0000}"/>
    <cellStyle name="Accent5 3 4 5 2" xfId="17816" xr:uid="{00000000-0005-0000-0000-0000FB3F0000}"/>
    <cellStyle name="Accent5 3 4 5 3" xfId="17815" xr:uid="{00000000-0005-0000-0000-0000FC3F0000}"/>
    <cellStyle name="Accent5 3 4 6" xfId="3451" xr:uid="{00000000-0005-0000-0000-0000FD3F0000}"/>
    <cellStyle name="Accent5 3 4 6 2" xfId="17818" xr:uid="{00000000-0005-0000-0000-0000FE3F0000}"/>
    <cellStyle name="Accent5 3 4 6 3" xfId="17817" xr:uid="{00000000-0005-0000-0000-0000FF3F0000}"/>
    <cellStyle name="Accent5 3 4 7" xfId="17819" xr:uid="{00000000-0005-0000-0000-000000400000}"/>
    <cellStyle name="Accent5 3 4 8" xfId="17808" xr:uid="{00000000-0005-0000-0000-000001400000}"/>
    <cellStyle name="Accent5 3 5" xfId="2069" xr:uid="{00000000-0005-0000-0000-000002400000}"/>
    <cellStyle name="Accent5 3 5 2" xfId="17821" xr:uid="{00000000-0005-0000-0000-000003400000}"/>
    <cellStyle name="Accent5 3 5 3" xfId="17820" xr:uid="{00000000-0005-0000-0000-000004400000}"/>
    <cellStyle name="Accent5 3 6" xfId="2443" xr:uid="{00000000-0005-0000-0000-000005400000}"/>
    <cellStyle name="Accent5 3 6 2" xfId="17823" xr:uid="{00000000-0005-0000-0000-000006400000}"/>
    <cellStyle name="Accent5 3 6 3" xfId="17822" xr:uid="{00000000-0005-0000-0000-000007400000}"/>
    <cellStyle name="Accent5 3 7" xfId="2815" xr:uid="{00000000-0005-0000-0000-000008400000}"/>
    <cellStyle name="Accent5 3 7 2" xfId="17825" xr:uid="{00000000-0005-0000-0000-000009400000}"/>
    <cellStyle name="Accent5 3 7 3" xfId="17824" xr:uid="{00000000-0005-0000-0000-00000A400000}"/>
    <cellStyle name="Accent5 3 8" xfId="3186" xr:uid="{00000000-0005-0000-0000-00000B400000}"/>
    <cellStyle name="Accent5 3 8 2" xfId="17827" xr:uid="{00000000-0005-0000-0000-00000C400000}"/>
    <cellStyle name="Accent5 3 8 3" xfId="17826" xr:uid="{00000000-0005-0000-0000-00000D400000}"/>
    <cellStyle name="Accent5 3 9" xfId="3561" xr:uid="{00000000-0005-0000-0000-00000E400000}"/>
    <cellStyle name="Accent5 3 9 2" xfId="17829" xr:uid="{00000000-0005-0000-0000-00000F400000}"/>
    <cellStyle name="Accent5 3 9 3" xfId="17828" xr:uid="{00000000-0005-0000-0000-000010400000}"/>
    <cellStyle name="Accent5 4" xfId="257" xr:uid="{00000000-0005-0000-0000-000011400000}"/>
    <cellStyle name="Accent5 4 10" xfId="3741" xr:uid="{00000000-0005-0000-0000-000012400000}"/>
    <cellStyle name="Accent5 4 10 2" xfId="17832" xr:uid="{00000000-0005-0000-0000-000013400000}"/>
    <cellStyle name="Accent5 4 10 3" xfId="17831" xr:uid="{00000000-0005-0000-0000-000014400000}"/>
    <cellStyle name="Accent5 4 11" xfId="1309" xr:uid="{00000000-0005-0000-0000-000015400000}"/>
    <cellStyle name="Accent5 4 11 2" xfId="17834" xr:uid="{00000000-0005-0000-0000-000016400000}"/>
    <cellStyle name="Accent5 4 11 3" xfId="17833" xr:uid="{00000000-0005-0000-0000-000017400000}"/>
    <cellStyle name="Accent5 4 12" xfId="17835" xr:uid="{00000000-0005-0000-0000-000018400000}"/>
    <cellStyle name="Accent5 4 13" xfId="17830" xr:uid="{00000000-0005-0000-0000-000019400000}"/>
    <cellStyle name="Accent5 4 2" xfId="1515" xr:uid="{00000000-0005-0000-0000-00001A400000}"/>
    <cellStyle name="Accent5 4 2 2" xfId="17837" xr:uid="{00000000-0005-0000-0000-00001B400000}"/>
    <cellStyle name="Accent5 4 2 3" xfId="17836" xr:uid="{00000000-0005-0000-0000-00001C400000}"/>
    <cellStyle name="Accent5 4 3" xfId="1640" xr:uid="{00000000-0005-0000-0000-00001D400000}"/>
    <cellStyle name="Accent5 4 3 2" xfId="17839" xr:uid="{00000000-0005-0000-0000-00001E400000}"/>
    <cellStyle name="Accent5 4 3 3" xfId="17838" xr:uid="{00000000-0005-0000-0000-00001F400000}"/>
    <cellStyle name="Accent5 4 4" xfId="1739" xr:uid="{00000000-0005-0000-0000-000020400000}"/>
    <cellStyle name="Accent5 4 4 2" xfId="17841" xr:uid="{00000000-0005-0000-0000-000021400000}"/>
    <cellStyle name="Accent5 4 4 3" xfId="17840" xr:uid="{00000000-0005-0000-0000-000022400000}"/>
    <cellStyle name="Accent5 4 5" xfId="2074" xr:uid="{00000000-0005-0000-0000-000023400000}"/>
    <cellStyle name="Accent5 4 5 2" xfId="17843" xr:uid="{00000000-0005-0000-0000-000024400000}"/>
    <cellStyle name="Accent5 4 5 3" xfId="17842" xr:uid="{00000000-0005-0000-0000-000025400000}"/>
    <cellStyle name="Accent5 4 6" xfId="2448" xr:uid="{00000000-0005-0000-0000-000026400000}"/>
    <cellStyle name="Accent5 4 6 2" xfId="17845" xr:uid="{00000000-0005-0000-0000-000027400000}"/>
    <cellStyle name="Accent5 4 6 3" xfId="17844" xr:uid="{00000000-0005-0000-0000-000028400000}"/>
    <cellStyle name="Accent5 4 7" xfId="2820" xr:uid="{00000000-0005-0000-0000-000029400000}"/>
    <cellStyle name="Accent5 4 7 2" xfId="17847" xr:uid="{00000000-0005-0000-0000-00002A400000}"/>
    <cellStyle name="Accent5 4 7 3" xfId="17846" xr:uid="{00000000-0005-0000-0000-00002B400000}"/>
    <cellStyle name="Accent5 4 8" xfId="3191" xr:uid="{00000000-0005-0000-0000-00002C400000}"/>
    <cellStyle name="Accent5 4 8 2" xfId="17849" xr:uid="{00000000-0005-0000-0000-00002D400000}"/>
    <cellStyle name="Accent5 4 8 3" xfId="17848" xr:uid="{00000000-0005-0000-0000-00002E400000}"/>
    <cellStyle name="Accent5 4 9" xfId="3604" xr:uid="{00000000-0005-0000-0000-00002F400000}"/>
    <cellStyle name="Accent5 4 9 2" xfId="17851" xr:uid="{00000000-0005-0000-0000-000030400000}"/>
    <cellStyle name="Accent5 4 9 3" xfId="17850" xr:uid="{00000000-0005-0000-0000-000031400000}"/>
    <cellStyle name="Accent5 5" xfId="447" xr:uid="{00000000-0005-0000-0000-000032400000}"/>
    <cellStyle name="Accent5 5 2" xfId="1775" xr:uid="{00000000-0005-0000-0000-000033400000}"/>
    <cellStyle name="Accent5 5 2 2" xfId="17854" xr:uid="{00000000-0005-0000-0000-000034400000}"/>
    <cellStyle name="Accent5 5 2 3" xfId="17853" xr:uid="{00000000-0005-0000-0000-000035400000}"/>
    <cellStyle name="Accent5 5 3" xfId="2110" xr:uid="{00000000-0005-0000-0000-000036400000}"/>
    <cellStyle name="Accent5 5 3 2" xfId="17856" xr:uid="{00000000-0005-0000-0000-000037400000}"/>
    <cellStyle name="Accent5 5 3 3" xfId="17855" xr:uid="{00000000-0005-0000-0000-000038400000}"/>
    <cellStyle name="Accent5 5 4" xfId="2484" xr:uid="{00000000-0005-0000-0000-000039400000}"/>
    <cellStyle name="Accent5 5 4 2" xfId="17858" xr:uid="{00000000-0005-0000-0000-00003A400000}"/>
    <cellStyle name="Accent5 5 4 3" xfId="17857" xr:uid="{00000000-0005-0000-0000-00003B400000}"/>
    <cellStyle name="Accent5 5 5" xfId="2856" xr:uid="{00000000-0005-0000-0000-00003C400000}"/>
    <cellStyle name="Accent5 5 5 2" xfId="17860" xr:uid="{00000000-0005-0000-0000-00003D400000}"/>
    <cellStyle name="Accent5 5 5 3" xfId="17859" xr:uid="{00000000-0005-0000-0000-00003E400000}"/>
    <cellStyle name="Accent5 5 6" xfId="3227" xr:uid="{00000000-0005-0000-0000-00003F400000}"/>
    <cellStyle name="Accent5 5 6 2" xfId="17862" xr:uid="{00000000-0005-0000-0000-000040400000}"/>
    <cellStyle name="Accent5 5 6 3" xfId="17861" xr:uid="{00000000-0005-0000-0000-000041400000}"/>
    <cellStyle name="Accent5 5 7" xfId="17863" xr:uid="{00000000-0005-0000-0000-000042400000}"/>
    <cellStyle name="Accent5 5 7 2" xfId="17864" xr:uid="{00000000-0005-0000-0000-000043400000}"/>
    <cellStyle name="Accent5 5 8" xfId="17865" xr:uid="{00000000-0005-0000-0000-000044400000}"/>
    <cellStyle name="Accent5 5 9" xfId="17852" xr:uid="{00000000-0005-0000-0000-000045400000}"/>
    <cellStyle name="Accent5 6" xfId="448" xr:uid="{00000000-0005-0000-0000-000046400000}"/>
    <cellStyle name="Accent5 6 10" xfId="17866" xr:uid="{00000000-0005-0000-0000-000047400000}"/>
    <cellStyle name="Accent5 6 2" xfId="1991" xr:uid="{00000000-0005-0000-0000-000048400000}"/>
    <cellStyle name="Accent5 6 2 2" xfId="17868" xr:uid="{00000000-0005-0000-0000-000049400000}"/>
    <cellStyle name="Accent5 6 2 3" xfId="17867" xr:uid="{00000000-0005-0000-0000-00004A400000}"/>
    <cellStyle name="Accent5 6 3" xfId="2366" xr:uid="{00000000-0005-0000-0000-00004B400000}"/>
    <cellStyle name="Accent5 6 3 2" xfId="17870" xr:uid="{00000000-0005-0000-0000-00004C400000}"/>
    <cellStyle name="Accent5 6 3 3" xfId="17869" xr:uid="{00000000-0005-0000-0000-00004D400000}"/>
    <cellStyle name="Accent5 6 4" xfId="2739" xr:uid="{00000000-0005-0000-0000-00004E400000}"/>
    <cellStyle name="Accent5 6 4 2" xfId="17872" xr:uid="{00000000-0005-0000-0000-00004F400000}"/>
    <cellStyle name="Accent5 6 4 3" xfId="17871" xr:uid="{00000000-0005-0000-0000-000050400000}"/>
    <cellStyle name="Accent5 6 5" xfId="3112" xr:uid="{00000000-0005-0000-0000-000051400000}"/>
    <cellStyle name="Accent5 6 5 2" xfId="17874" xr:uid="{00000000-0005-0000-0000-000052400000}"/>
    <cellStyle name="Accent5 6 5 3" xfId="17873" xr:uid="{00000000-0005-0000-0000-000053400000}"/>
    <cellStyle name="Accent5 6 6" xfId="3483" xr:uid="{00000000-0005-0000-0000-000054400000}"/>
    <cellStyle name="Accent5 6 6 2" xfId="17876" xr:uid="{00000000-0005-0000-0000-000055400000}"/>
    <cellStyle name="Accent5 6 6 3" xfId="17875" xr:uid="{00000000-0005-0000-0000-000056400000}"/>
    <cellStyle name="Accent5 6 7" xfId="3789" xr:uid="{00000000-0005-0000-0000-000057400000}"/>
    <cellStyle name="Accent5 6 7 2" xfId="17878" xr:uid="{00000000-0005-0000-0000-000058400000}"/>
    <cellStyle name="Accent5 6 7 3" xfId="17877" xr:uid="{00000000-0005-0000-0000-000059400000}"/>
    <cellStyle name="Accent5 6 8" xfId="17879" xr:uid="{00000000-0005-0000-0000-00005A400000}"/>
    <cellStyle name="Accent5 6 8 2" xfId="17880" xr:uid="{00000000-0005-0000-0000-00005B400000}"/>
    <cellStyle name="Accent5 6 9" xfId="17881" xr:uid="{00000000-0005-0000-0000-00005C400000}"/>
    <cellStyle name="Accent5 7" xfId="449" xr:uid="{00000000-0005-0000-0000-00005D400000}"/>
    <cellStyle name="Accent5 7 2" xfId="17883" xr:uid="{00000000-0005-0000-0000-00005E400000}"/>
    <cellStyle name="Accent5 7 3" xfId="17882" xr:uid="{00000000-0005-0000-0000-00005F400000}"/>
    <cellStyle name="Accent5 8" xfId="586" xr:uid="{00000000-0005-0000-0000-000060400000}"/>
    <cellStyle name="Accent5 8 2" xfId="17885" xr:uid="{00000000-0005-0000-0000-000061400000}"/>
    <cellStyle name="Accent5 8 3" xfId="17884" xr:uid="{00000000-0005-0000-0000-000062400000}"/>
    <cellStyle name="Accent5 9" xfId="587" xr:uid="{00000000-0005-0000-0000-000063400000}"/>
    <cellStyle name="Accent5 9 2" xfId="17887" xr:uid="{00000000-0005-0000-0000-000064400000}"/>
    <cellStyle name="Accent5 9 3" xfId="17886" xr:uid="{00000000-0005-0000-0000-000065400000}"/>
    <cellStyle name="Accent6 10" xfId="732" xr:uid="{00000000-0005-0000-0000-000066400000}"/>
    <cellStyle name="Accent6 10 2" xfId="17890" xr:uid="{00000000-0005-0000-0000-000067400000}"/>
    <cellStyle name="Accent6 10 3" xfId="17889" xr:uid="{00000000-0005-0000-0000-000068400000}"/>
    <cellStyle name="Accent6 11" xfId="733" xr:uid="{00000000-0005-0000-0000-000069400000}"/>
    <cellStyle name="Accent6 11 2" xfId="17892" xr:uid="{00000000-0005-0000-0000-00006A400000}"/>
    <cellStyle name="Accent6 11 3" xfId="17891" xr:uid="{00000000-0005-0000-0000-00006B400000}"/>
    <cellStyle name="Accent6 12" xfId="867" xr:uid="{00000000-0005-0000-0000-00006C400000}"/>
    <cellStyle name="Accent6 12 2" xfId="17893" xr:uid="{00000000-0005-0000-0000-00006D400000}"/>
    <cellStyle name="Accent6 13" xfId="868" xr:uid="{00000000-0005-0000-0000-00006E400000}"/>
    <cellStyle name="Accent6 13 2" xfId="17888" xr:uid="{00000000-0005-0000-0000-00006F400000}"/>
    <cellStyle name="Accent6 14" xfId="967" xr:uid="{00000000-0005-0000-0000-000070400000}"/>
    <cellStyle name="Accent6 2" xfId="91" xr:uid="{00000000-0005-0000-0000-000071400000}"/>
    <cellStyle name="Accent6 2 10" xfId="1690" xr:uid="{00000000-0005-0000-0000-000072400000}"/>
    <cellStyle name="Accent6 2 10 2" xfId="17896" xr:uid="{00000000-0005-0000-0000-000073400000}"/>
    <cellStyle name="Accent6 2 10 3" xfId="17895" xr:uid="{00000000-0005-0000-0000-000074400000}"/>
    <cellStyle name="Accent6 2 11" xfId="2025" xr:uid="{00000000-0005-0000-0000-000075400000}"/>
    <cellStyle name="Accent6 2 11 2" xfId="17898" xr:uid="{00000000-0005-0000-0000-000076400000}"/>
    <cellStyle name="Accent6 2 11 3" xfId="17897" xr:uid="{00000000-0005-0000-0000-000077400000}"/>
    <cellStyle name="Accent6 2 12" xfId="2399" xr:uid="{00000000-0005-0000-0000-000078400000}"/>
    <cellStyle name="Accent6 2 12 2" xfId="17900" xr:uid="{00000000-0005-0000-0000-000079400000}"/>
    <cellStyle name="Accent6 2 12 3" xfId="17899" xr:uid="{00000000-0005-0000-0000-00007A400000}"/>
    <cellStyle name="Accent6 2 13" xfId="2772" xr:uid="{00000000-0005-0000-0000-00007B400000}"/>
    <cellStyle name="Accent6 2 13 2" xfId="17902" xr:uid="{00000000-0005-0000-0000-00007C400000}"/>
    <cellStyle name="Accent6 2 13 3" xfId="17901" xr:uid="{00000000-0005-0000-0000-00007D400000}"/>
    <cellStyle name="Accent6 2 14" xfId="3146" xr:uid="{00000000-0005-0000-0000-00007E400000}"/>
    <cellStyle name="Accent6 2 14 2" xfId="17904" xr:uid="{00000000-0005-0000-0000-00007F400000}"/>
    <cellStyle name="Accent6 2 14 3" xfId="17903" xr:uid="{00000000-0005-0000-0000-000080400000}"/>
    <cellStyle name="Accent6 2 15" xfId="3517" xr:uid="{00000000-0005-0000-0000-000081400000}"/>
    <cellStyle name="Accent6 2 15 2" xfId="17906" xr:uid="{00000000-0005-0000-0000-000082400000}"/>
    <cellStyle name="Accent6 2 15 3" xfId="17905" xr:uid="{00000000-0005-0000-0000-000083400000}"/>
    <cellStyle name="Accent6 2 16" xfId="3655" xr:uid="{00000000-0005-0000-0000-000084400000}"/>
    <cellStyle name="Accent6 2 16 2" xfId="17908" xr:uid="{00000000-0005-0000-0000-000085400000}"/>
    <cellStyle name="Accent6 2 16 3" xfId="17907" xr:uid="{00000000-0005-0000-0000-000086400000}"/>
    <cellStyle name="Accent6 2 17" xfId="17909" xr:uid="{00000000-0005-0000-0000-000087400000}"/>
    <cellStyle name="Accent6 2 17 2" xfId="17910" xr:uid="{00000000-0005-0000-0000-000088400000}"/>
    <cellStyle name="Accent6 2 18" xfId="17911" xr:uid="{00000000-0005-0000-0000-000089400000}"/>
    <cellStyle name="Accent6 2 19" xfId="17894" xr:uid="{00000000-0005-0000-0000-00008A400000}"/>
    <cellStyle name="Accent6 2 2" xfId="135" xr:uid="{00000000-0005-0000-0000-00008B400000}"/>
    <cellStyle name="Accent6 2 2 2" xfId="190" xr:uid="{00000000-0005-0000-0000-00008C400000}"/>
    <cellStyle name="Accent6 2 2 2 2" xfId="17914" xr:uid="{00000000-0005-0000-0000-00008D400000}"/>
    <cellStyle name="Accent6 2 2 2 3" xfId="17913" xr:uid="{00000000-0005-0000-0000-00008E400000}"/>
    <cellStyle name="Accent6 2 2 3" xfId="354" xr:uid="{00000000-0005-0000-0000-00008F400000}"/>
    <cellStyle name="Accent6 2 2 3 2" xfId="17916" xr:uid="{00000000-0005-0000-0000-000090400000}"/>
    <cellStyle name="Accent6 2 2 3 3" xfId="17915" xr:uid="{00000000-0005-0000-0000-000091400000}"/>
    <cellStyle name="Accent6 2 2 4" xfId="2176" xr:uid="{00000000-0005-0000-0000-000092400000}"/>
    <cellStyle name="Accent6 2 2 4 2" xfId="17918" xr:uid="{00000000-0005-0000-0000-000093400000}"/>
    <cellStyle name="Accent6 2 2 4 3" xfId="17917" xr:uid="{00000000-0005-0000-0000-000094400000}"/>
    <cellStyle name="Accent6 2 2 5" xfId="2550" xr:uid="{00000000-0005-0000-0000-000095400000}"/>
    <cellStyle name="Accent6 2 2 5 2" xfId="17920" xr:uid="{00000000-0005-0000-0000-000096400000}"/>
    <cellStyle name="Accent6 2 2 5 3" xfId="17919" xr:uid="{00000000-0005-0000-0000-000097400000}"/>
    <cellStyle name="Accent6 2 2 6" xfId="2922" xr:uid="{00000000-0005-0000-0000-000098400000}"/>
    <cellStyle name="Accent6 2 2 6 2" xfId="17922" xr:uid="{00000000-0005-0000-0000-000099400000}"/>
    <cellStyle name="Accent6 2 2 6 3" xfId="17921" xr:uid="{00000000-0005-0000-0000-00009A400000}"/>
    <cellStyle name="Accent6 2 2 7" xfId="3294" xr:uid="{00000000-0005-0000-0000-00009B400000}"/>
    <cellStyle name="Accent6 2 2 7 2" xfId="17924" xr:uid="{00000000-0005-0000-0000-00009C400000}"/>
    <cellStyle name="Accent6 2 2 7 3" xfId="17923" xr:uid="{00000000-0005-0000-0000-00009D400000}"/>
    <cellStyle name="Accent6 2 2 8" xfId="17925" xr:uid="{00000000-0005-0000-0000-00009E400000}"/>
    <cellStyle name="Accent6 2 2 9" xfId="17912" xr:uid="{00000000-0005-0000-0000-00009F400000}"/>
    <cellStyle name="Accent6 2 20" xfId="24489" xr:uid="{00000000-0005-0000-0000-0000A0400000}"/>
    <cellStyle name="Accent6 2 3" xfId="300" xr:uid="{00000000-0005-0000-0000-0000A1400000}"/>
    <cellStyle name="Accent6 2 3 2" xfId="1352" xr:uid="{00000000-0005-0000-0000-0000A2400000}"/>
    <cellStyle name="Accent6 2 3 2 2" xfId="17927" xr:uid="{00000000-0005-0000-0000-0000A3400000}"/>
    <cellStyle name="Accent6 2 3 3" xfId="17926" xr:uid="{00000000-0005-0000-0000-0000A4400000}"/>
    <cellStyle name="Accent6 2 4" xfId="450" xr:uid="{00000000-0005-0000-0000-0000A5400000}"/>
    <cellStyle name="Accent6 2 4 2" xfId="17929" xr:uid="{00000000-0005-0000-0000-0000A6400000}"/>
    <cellStyle name="Accent6 2 4 3" xfId="17928" xr:uid="{00000000-0005-0000-0000-0000A7400000}"/>
    <cellStyle name="Accent6 2 5" xfId="588" xr:uid="{00000000-0005-0000-0000-0000A8400000}"/>
    <cellStyle name="Accent6 2 5 2" xfId="17931" xr:uid="{00000000-0005-0000-0000-0000A9400000}"/>
    <cellStyle name="Accent6 2 5 3" xfId="17930" xr:uid="{00000000-0005-0000-0000-0000AA400000}"/>
    <cellStyle name="Accent6 2 6" xfId="734" xr:uid="{00000000-0005-0000-0000-0000AB400000}"/>
    <cellStyle name="Accent6 2 6 2" xfId="17933" xr:uid="{00000000-0005-0000-0000-0000AC400000}"/>
    <cellStyle name="Accent6 2 6 3" xfId="17932" xr:uid="{00000000-0005-0000-0000-0000AD400000}"/>
    <cellStyle name="Accent6 2 7" xfId="735" xr:uid="{00000000-0005-0000-0000-0000AE400000}"/>
    <cellStyle name="Accent6 2 7 2" xfId="17935" xr:uid="{00000000-0005-0000-0000-0000AF400000}"/>
    <cellStyle name="Accent6 2 7 3" xfId="17934" xr:uid="{00000000-0005-0000-0000-0000B0400000}"/>
    <cellStyle name="Accent6 2 8" xfId="869" xr:uid="{00000000-0005-0000-0000-0000B1400000}"/>
    <cellStyle name="Accent6 2 8 2" xfId="1419" xr:uid="{00000000-0005-0000-0000-0000B2400000}"/>
    <cellStyle name="Accent6 2 8 2 2" xfId="17937" xr:uid="{00000000-0005-0000-0000-0000B3400000}"/>
    <cellStyle name="Accent6 2 8 3" xfId="17936" xr:uid="{00000000-0005-0000-0000-0000B4400000}"/>
    <cellStyle name="Accent6 2 9" xfId="968" xr:uid="{00000000-0005-0000-0000-0000B5400000}"/>
    <cellStyle name="Accent6 2 9 2" xfId="1558" xr:uid="{00000000-0005-0000-0000-0000B6400000}"/>
    <cellStyle name="Accent6 2 9 2 2" xfId="17939" xr:uid="{00000000-0005-0000-0000-0000B7400000}"/>
    <cellStyle name="Accent6 2 9 3" xfId="17938" xr:uid="{00000000-0005-0000-0000-0000B8400000}"/>
    <cellStyle name="Accent6 3" xfId="231" xr:uid="{00000000-0005-0000-0000-0000B9400000}"/>
    <cellStyle name="Accent6 3 10" xfId="3698" xr:uid="{00000000-0005-0000-0000-0000BA400000}"/>
    <cellStyle name="Accent6 3 10 2" xfId="17942" xr:uid="{00000000-0005-0000-0000-0000BB400000}"/>
    <cellStyle name="Accent6 3 10 3" xfId="17941" xr:uid="{00000000-0005-0000-0000-0000BC400000}"/>
    <cellStyle name="Accent6 3 11" xfId="17943" xr:uid="{00000000-0005-0000-0000-0000BD400000}"/>
    <cellStyle name="Accent6 3 11 2" xfId="17944" xr:uid="{00000000-0005-0000-0000-0000BE400000}"/>
    <cellStyle name="Accent6 3 12" xfId="17945" xr:uid="{00000000-0005-0000-0000-0000BF400000}"/>
    <cellStyle name="Accent6 3 13" xfId="17940" xr:uid="{00000000-0005-0000-0000-0000C0400000}"/>
    <cellStyle name="Accent6 3 2" xfId="1471" xr:uid="{00000000-0005-0000-0000-0000C1400000}"/>
    <cellStyle name="Accent6 3 2 2" xfId="1842" xr:uid="{00000000-0005-0000-0000-0000C2400000}"/>
    <cellStyle name="Accent6 3 2 2 2" xfId="17948" xr:uid="{00000000-0005-0000-0000-0000C3400000}"/>
    <cellStyle name="Accent6 3 2 2 3" xfId="17947" xr:uid="{00000000-0005-0000-0000-0000C4400000}"/>
    <cellStyle name="Accent6 3 2 3" xfId="2217" xr:uid="{00000000-0005-0000-0000-0000C5400000}"/>
    <cellStyle name="Accent6 3 2 3 2" xfId="17950" xr:uid="{00000000-0005-0000-0000-0000C6400000}"/>
    <cellStyle name="Accent6 3 2 3 3" xfId="17949" xr:uid="{00000000-0005-0000-0000-0000C7400000}"/>
    <cellStyle name="Accent6 3 2 4" xfId="2591" xr:uid="{00000000-0005-0000-0000-0000C8400000}"/>
    <cellStyle name="Accent6 3 2 4 2" xfId="17952" xr:uid="{00000000-0005-0000-0000-0000C9400000}"/>
    <cellStyle name="Accent6 3 2 4 3" xfId="17951" xr:uid="{00000000-0005-0000-0000-0000CA400000}"/>
    <cellStyle name="Accent6 3 2 5" xfId="2963" xr:uid="{00000000-0005-0000-0000-0000CB400000}"/>
    <cellStyle name="Accent6 3 2 5 2" xfId="17954" xr:uid="{00000000-0005-0000-0000-0000CC400000}"/>
    <cellStyle name="Accent6 3 2 5 3" xfId="17953" xr:uid="{00000000-0005-0000-0000-0000CD400000}"/>
    <cellStyle name="Accent6 3 2 6" xfId="3335" xr:uid="{00000000-0005-0000-0000-0000CE400000}"/>
    <cellStyle name="Accent6 3 2 6 2" xfId="17956" xr:uid="{00000000-0005-0000-0000-0000CF400000}"/>
    <cellStyle name="Accent6 3 2 6 3" xfId="17955" xr:uid="{00000000-0005-0000-0000-0000D0400000}"/>
    <cellStyle name="Accent6 3 2 7" xfId="17957" xr:uid="{00000000-0005-0000-0000-0000D1400000}"/>
    <cellStyle name="Accent6 3 2 8" xfId="17946" xr:uid="{00000000-0005-0000-0000-0000D2400000}"/>
    <cellStyle name="Accent6 3 3" xfId="1598" xr:uid="{00000000-0005-0000-0000-0000D3400000}"/>
    <cellStyle name="Accent6 3 3 2" xfId="1919" xr:uid="{00000000-0005-0000-0000-0000D4400000}"/>
    <cellStyle name="Accent6 3 3 2 2" xfId="17960" xr:uid="{00000000-0005-0000-0000-0000D5400000}"/>
    <cellStyle name="Accent6 3 3 2 3" xfId="17959" xr:uid="{00000000-0005-0000-0000-0000D6400000}"/>
    <cellStyle name="Accent6 3 3 3" xfId="2294" xr:uid="{00000000-0005-0000-0000-0000D7400000}"/>
    <cellStyle name="Accent6 3 3 3 2" xfId="17962" xr:uid="{00000000-0005-0000-0000-0000D8400000}"/>
    <cellStyle name="Accent6 3 3 3 3" xfId="17961" xr:uid="{00000000-0005-0000-0000-0000D9400000}"/>
    <cellStyle name="Accent6 3 3 4" xfId="2667" xr:uid="{00000000-0005-0000-0000-0000DA400000}"/>
    <cellStyle name="Accent6 3 3 4 2" xfId="17964" xr:uid="{00000000-0005-0000-0000-0000DB400000}"/>
    <cellStyle name="Accent6 3 3 4 3" xfId="17963" xr:uid="{00000000-0005-0000-0000-0000DC400000}"/>
    <cellStyle name="Accent6 3 3 5" xfId="3040" xr:uid="{00000000-0005-0000-0000-0000DD400000}"/>
    <cellStyle name="Accent6 3 3 5 2" xfId="17966" xr:uid="{00000000-0005-0000-0000-0000DE400000}"/>
    <cellStyle name="Accent6 3 3 5 3" xfId="17965" xr:uid="{00000000-0005-0000-0000-0000DF400000}"/>
    <cellStyle name="Accent6 3 3 6" xfId="3411" xr:uid="{00000000-0005-0000-0000-0000E0400000}"/>
    <cellStyle name="Accent6 3 3 6 2" xfId="17968" xr:uid="{00000000-0005-0000-0000-0000E1400000}"/>
    <cellStyle name="Accent6 3 3 6 3" xfId="17967" xr:uid="{00000000-0005-0000-0000-0000E2400000}"/>
    <cellStyle name="Accent6 3 3 7" xfId="17969" xr:uid="{00000000-0005-0000-0000-0000E3400000}"/>
    <cellStyle name="Accent6 3 3 8" xfId="17958" xr:uid="{00000000-0005-0000-0000-0000E4400000}"/>
    <cellStyle name="Accent6 3 4" xfId="1735" xr:uid="{00000000-0005-0000-0000-0000E5400000}"/>
    <cellStyle name="Accent6 3 4 2" xfId="1963" xr:uid="{00000000-0005-0000-0000-0000E6400000}"/>
    <cellStyle name="Accent6 3 4 2 2" xfId="17972" xr:uid="{00000000-0005-0000-0000-0000E7400000}"/>
    <cellStyle name="Accent6 3 4 2 3" xfId="17971" xr:uid="{00000000-0005-0000-0000-0000E8400000}"/>
    <cellStyle name="Accent6 3 4 3" xfId="2338" xr:uid="{00000000-0005-0000-0000-0000E9400000}"/>
    <cellStyle name="Accent6 3 4 3 2" xfId="17974" xr:uid="{00000000-0005-0000-0000-0000EA400000}"/>
    <cellStyle name="Accent6 3 4 3 3" xfId="17973" xr:uid="{00000000-0005-0000-0000-0000EB400000}"/>
    <cellStyle name="Accent6 3 4 4" xfId="2711" xr:uid="{00000000-0005-0000-0000-0000EC400000}"/>
    <cellStyle name="Accent6 3 4 4 2" xfId="17976" xr:uid="{00000000-0005-0000-0000-0000ED400000}"/>
    <cellStyle name="Accent6 3 4 4 3" xfId="17975" xr:uid="{00000000-0005-0000-0000-0000EE400000}"/>
    <cellStyle name="Accent6 3 4 5" xfId="3084" xr:uid="{00000000-0005-0000-0000-0000EF400000}"/>
    <cellStyle name="Accent6 3 4 5 2" xfId="17978" xr:uid="{00000000-0005-0000-0000-0000F0400000}"/>
    <cellStyle name="Accent6 3 4 5 3" xfId="17977" xr:uid="{00000000-0005-0000-0000-0000F1400000}"/>
    <cellStyle name="Accent6 3 4 6" xfId="3455" xr:uid="{00000000-0005-0000-0000-0000F2400000}"/>
    <cellStyle name="Accent6 3 4 6 2" xfId="17980" xr:uid="{00000000-0005-0000-0000-0000F3400000}"/>
    <cellStyle name="Accent6 3 4 6 3" xfId="17979" xr:uid="{00000000-0005-0000-0000-0000F4400000}"/>
    <cellStyle name="Accent6 3 4 7" xfId="17981" xr:uid="{00000000-0005-0000-0000-0000F5400000}"/>
    <cellStyle name="Accent6 3 4 8" xfId="17970" xr:uid="{00000000-0005-0000-0000-0000F6400000}"/>
    <cellStyle name="Accent6 3 5" xfId="2070" xr:uid="{00000000-0005-0000-0000-0000F7400000}"/>
    <cellStyle name="Accent6 3 5 2" xfId="17983" xr:uid="{00000000-0005-0000-0000-0000F8400000}"/>
    <cellStyle name="Accent6 3 5 3" xfId="17982" xr:uid="{00000000-0005-0000-0000-0000F9400000}"/>
    <cellStyle name="Accent6 3 6" xfId="2444" xr:uid="{00000000-0005-0000-0000-0000FA400000}"/>
    <cellStyle name="Accent6 3 6 2" xfId="17985" xr:uid="{00000000-0005-0000-0000-0000FB400000}"/>
    <cellStyle name="Accent6 3 6 3" xfId="17984" xr:uid="{00000000-0005-0000-0000-0000FC400000}"/>
    <cellStyle name="Accent6 3 7" xfId="2816" xr:uid="{00000000-0005-0000-0000-0000FD400000}"/>
    <cellStyle name="Accent6 3 7 2" xfId="17987" xr:uid="{00000000-0005-0000-0000-0000FE400000}"/>
    <cellStyle name="Accent6 3 7 3" xfId="17986" xr:uid="{00000000-0005-0000-0000-0000FF400000}"/>
    <cellStyle name="Accent6 3 8" xfId="3187" xr:uid="{00000000-0005-0000-0000-000000410000}"/>
    <cellStyle name="Accent6 3 8 2" xfId="17989" xr:uid="{00000000-0005-0000-0000-000001410000}"/>
    <cellStyle name="Accent6 3 8 3" xfId="17988" xr:uid="{00000000-0005-0000-0000-000002410000}"/>
    <cellStyle name="Accent6 3 9" xfId="3562" xr:uid="{00000000-0005-0000-0000-000003410000}"/>
    <cellStyle name="Accent6 3 9 2" xfId="17991" xr:uid="{00000000-0005-0000-0000-000004410000}"/>
    <cellStyle name="Accent6 3 9 3" xfId="17990" xr:uid="{00000000-0005-0000-0000-000005410000}"/>
    <cellStyle name="Accent6 4" xfId="258" xr:uid="{00000000-0005-0000-0000-000006410000}"/>
    <cellStyle name="Accent6 4 10" xfId="3742" xr:uid="{00000000-0005-0000-0000-000007410000}"/>
    <cellStyle name="Accent6 4 10 2" xfId="17994" xr:uid="{00000000-0005-0000-0000-000008410000}"/>
    <cellStyle name="Accent6 4 10 3" xfId="17993" xr:uid="{00000000-0005-0000-0000-000009410000}"/>
    <cellStyle name="Accent6 4 11" xfId="1313" xr:uid="{00000000-0005-0000-0000-00000A410000}"/>
    <cellStyle name="Accent6 4 11 2" xfId="17996" xr:uid="{00000000-0005-0000-0000-00000B410000}"/>
    <cellStyle name="Accent6 4 11 3" xfId="17995" xr:uid="{00000000-0005-0000-0000-00000C410000}"/>
    <cellStyle name="Accent6 4 12" xfId="17997" xr:uid="{00000000-0005-0000-0000-00000D410000}"/>
    <cellStyle name="Accent6 4 13" xfId="17992" xr:uid="{00000000-0005-0000-0000-00000E410000}"/>
    <cellStyle name="Accent6 4 2" xfId="1516" xr:uid="{00000000-0005-0000-0000-00000F410000}"/>
    <cellStyle name="Accent6 4 2 2" xfId="17999" xr:uid="{00000000-0005-0000-0000-000010410000}"/>
    <cellStyle name="Accent6 4 2 3" xfId="17998" xr:uid="{00000000-0005-0000-0000-000011410000}"/>
    <cellStyle name="Accent6 4 3" xfId="1641" xr:uid="{00000000-0005-0000-0000-000012410000}"/>
    <cellStyle name="Accent6 4 3 2" xfId="18001" xr:uid="{00000000-0005-0000-0000-000013410000}"/>
    <cellStyle name="Accent6 4 3 3" xfId="18000" xr:uid="{00000000-0005-0000-0000-000014410000}"/>
    <cellStyle name="Accent6 4 4" xfId="1786" xr:uid="{00000000-0005-0000-0000-000015410000}"/>
    <cellStyle name="Accent6 4 4 2" xfId="18003" xr:uid="{00000000-0005-0000-0000-000016410000}"/>
    <cellStyle name="Accent6 4 4 3" xfId="18002" xr:uid="{00000000-0005-0000-0000-000017410000}"/>
    <cellStyle name="Accent6 4 5" xfId="2121" xr:uid="{00000000-0005-0000-0000-000018410000}"/>
    <cellStyle name="Accent6 4 5 2" xfId="18005" xr:uid="{00000000-0005-0000-0000-000019410000}"/>
    <cellStyle name="Accent6 4 5 3" xfId="18004" xr:uid="{00000000-0005-0000-0000-00001A410000}"/>
    <cellStyle name="Accent6 4 6" xfId="2495" xr:uid="{00000000-0005-0000-0000-00001B410000}"/>
    <cellStyle name="Accent6 4 6 2" xfId="18007" xr:uid="{00000000-0005-0000-0000-00001C410000}"/>
    <cellStyle name="Accent6 4 6 3" xfId="18006" xr:uid="{00000000-0005-0000-0000-00001D410000}"/>
    <cellStyle name="Accent6 4 7" xfId="2867" xr:uid="{00000000-0005-0000-0000-00001E410000}"/>
    <cellStyle name="Accent6 4 7 2" xfId="18009" xr:uid="{00000000-0005-0000-0000-00001F410000}"/>
    <cellStyle name="Accent6 4 7 3" xfId="18008" xr:uid="{00000000-0005-0000-0000-000020410000}"/>
    <cellStyle name="Accent6 4 8" xfId="3238" xr:uid="{00000000-0005-0000-0000-000021410000}"/>
    <cellStyle name="Accent6 4 8 2" xfId="18011" xr:uid="{00000000-0005-0000-0000-000022410000}"/>
    <cellStyle name="Accent6 4 8 3" xfId="18010" xr:uid="{00000000-0005-0000-0000-000023410000}"/>
    <cellStyle name="Accent6 4 9" xfId="3605" xr:uid="{00000000-0005-0000-0000-000024410000}"/>
    <cellStyle name="Accent6 4 9 2" xfId="18013" xr:uid="{00000000-0005-0000-0000-000025410000}"/>
    <cellStyle name="Accent6 4 9 3" xfId="18012" xr:uid="{00000000-0005-0000-0000-000026410000}"/>
    <cellStyle name="Accent6 5" xfId="451" xr:uid="{00000000-0005-0000-0000-000027410000}"/>
    <cellStyle name="Accent6 5 2" xfId="1871" xr:uid="{00000000-0005-0000-0000-000028410000}"/>
    <cellStyle name="Accent6 5 2 2" xfId="18016" xr:uid="{00000000-0005-0000-0000-000029410000}"/>
    <cellStyle name="Accent6 5 2 3" xfId="18015" xr:uid="{00000000-0005-0000-0000-00002A410000}"/>
    <cellStyle name="Accent6 5 3" xfId="2246" xr:uid="{00000000-0005-0000-0000-00002B410000}"/>
    <cellStyle name="Accent6 5 3 2" xfId="18018" xr:uid="{00000000-0005-0000-0000-00002C410000}"/>
    <cellStyle name="Accent6 5 3 3" xfId="18017" xr:uid="{00000000-0005-0000-0000-00002D410000}"/>
    <cellStyle name="Accent6 5 4" xfId="2620" xr:uid="{00000000-0005-0000-0000-00002E410000}"/>
    <cellStyle name="Accent6 5 4 2" xfId="18020" xr:uid="{00000000-0005-0000-0000-00002F410000}"/>
    <cellStyle name="Accent6 5 4 3" xfId="18019" xr:uid="{00000000-0005-0000-0000-000030410000}"/>
    <cellStyle name="Accent6 5 5" xfId="2992" xr:uid="{00000000-0005-0000-0000-000031410000}"/>
    <cellStyle name="Accent6 5 5 2" xfId="18022" xr:uid="{00000000-0005-0000-0000-000032410000}"/>
    <cellStyle name="Accent6 5 5 3" xfId="18021" xr:uid="{00000000-0005-0000-0000-000033410000}"/>
    <cellStyle name="Accent6 5 6" xfId="3364" xr:uid="{00000000-0005-0000-0000-000034410000}"/>
    <cellStyle name="Accent6 5 6 2" xfId="18024" xr:uid="{00000000-0005-0000-0000-000035410000}"/>
    <cellStyle name="Accent6 5 6 3" xfId="18023" xr:uid="{00000000-0005-0000-0000-000036410000}"/>
    <cellStyle name="Accent6 5 7" xfId="18025" xr:uid="{00000000-0005-0000-0000-000037410000}"/>
    <cellStyle name="Accent6 5 7 2" xfId="18026" xr:uid="{00000000-0005-0000-0000-000038410000}"/>
    <cellStyle name="Accent6 5 8" xfId="18027" xr:uid="{00000000-0005-0000-0000-000039410000}"/>
    <cellStyle name="Accent6 5 9" xfId="18014" xr:uid="{00000000-0005-0000-0000-00003A410000}"/>
    <cellStyle name="Accent6 6" xfId="452" xr:uid="{00000000-0005-0000-0000-00003B410000}"/>
    <cellStyle name="Accent6 6 10" xfId="18028" xr:uid="{00000000-0005-0000-0000-00003C410000}"/>
    <cellStyle name="Accent6 6 2" xfId="1992" xr:uid="{00000000-0005-0000-0000-00003D410000}"/>
    <cellStyle name="Accent6 6 2 2" xfId="18030" xr:uid="{00000000-0005-0000-0000-00003E410000}"/>
    <cellStyle name="Accent6 6 2 3" xfId="18029" xr:uid="{00000000-0005-0000-0000-00003F410000}"/>
    <cellStyle name="Accent6 6 3" xfId="2367" xr:uid="{00000000-0005-0000-0000-000040410000}"/>
    <cellStyle name="Accent6 6 3 2" xfId="18032" xr:uid="{00000000-0005-0000-0000-000041410000}"/>
    <cellStyle name="Accent6 6 3 3" xfId="18031" xr:uid="{00000000-0005-0000-0000-000042410000}"/>
    <cellStyle name="Accent6 6 4" xfId="2740" xr:uid="{00000000-0005-0000-0000-000043410000}"/>
    <cellStyle name="Accent6 6 4 2" xfId="18034" xr:uid="{00000000-0005-0000-0000-000044410000}"/>
    <cellStyle name="Accent6 6 4 3" xfId="18033" xr:uid="{00000000-0005-0000-0000-000045410000}"/>
    <cellStyle name="Accent6 6 5" xfId="3113" xr:uid="{00000000-0005-0000-0000-000046410000}"/>
    <cellStyle name="Accent6 6 5 2" xfId="18036" xr:uid="{00000000-0005-0000-0000-000047410000}"/>
    <cellStyle name="Accent6 6 5 3" xfId="18035" xr:uid="{00000000-0005-0000-0000-000048410000}"/>
    <cellStyle name="Accent6 6 6" xfId="3484" xr:uid="{00000000-0005-0000-0000-000049410000}"/>
    <cellStyle name="Accent6 6 6 2" xfId="18038" xr:uid="{00000000-0005-0000-0000-00004A410000}"/>
    <cellStyle name="Accent6 6 6 3" xfId="18037" xr:uid="{00000000-0005-0000-0000-00004B410000}"/>
    <cellStyle name="Accent6 6 7" xfId="3790" xr:uid="{00000000-0005-0000-0000-00004C410000}"/>
    <cellStyle name="Accent6 6 7 2" xfId="18040" xr:uid="{00000000-0005-0000-0000-00004D410000}"/>
    <cellStyle name="Accent6 6 7 3" xfId="18039" xr:uid="{00000000-0005-0000-0000-00004E410000}"/>
    <cellStyle name="Accent6 6 8" xfId="18041" xr:uid="{00000000-0005-0000-0000-00004F410000}"/>
    <cellStyle name="Accent6 6 8 2" xfId="18042" xr:uid="{00000000-0005-0000-0000-000050410000}"/>
    <cellStyle name="Accent6 6 9" xfId="18043" xr:uid="{00000000-0005-0000-0000-000051410000}"/>
    <cellStyle name="Accent6 7" xfId="453" xr:uid="{00000000-0005-0000-0000-000052410000}"/>
    <cellStyle name="Accent6 7 2" xfId="18045" xr:uid="{00000000-0005-0000-0000-000053410000}"/>
    <cellStyle name="Accent6 7 3" xfId="18044" xr:uid="{00000000-0005-0000-0000-000054410000}"/>
    <cellStyle name="Accent6 8" xfId="589" xr:uid="{00000000-0005-0000-0000-000055410000}"/>
    <cellStyle name="Accent6 8 2" xfId="18047" xr:uid="{00000000-0005-0000-0000-000056410000}"/>
    <cellStyle name="Accent6 8 3" xfId="18046" xr:uid="{00000000-0005-0000-0000-000057410000}"/>
    <cellStyle name="Accent6 9" xfId="590" xr:uid="{00000000-0005-0000-0000-000058410000}"/>
    <cellStyle name="Accent6 9 2" xfId="18049" xr:uid="{00000000-0005-0000-0000-000059410000}"/>
    <cellStyle name="Accent6 9 3" xfId="18048" xr:uid="{00000000-0005-0000-0000-00005A410000}"/>
    <cellStyle name="Bad 10" xfId="736" xr:uid="{00000000-0005-0000-0000-00005B410000}"/>
    <cellStyle name="Bad 10 2" xfId="18052" xr:uid="{00000000-0005-0000-0000-00005C410000}"/>
    <cellStyle name="Bad 10 3" xfId="18051" xr:uid="{00000000-0005-0000-0000-00005D410000}"/>
    <cellStyle name="Bad 11" xfId="737" xr:uid="{00000000-0005-0000-0000-00005E410000}"/>
    <cellStyle name="Bad 11 2" xfId="18054" xr:uid="{00000000-0005-0000-0000-00005F410000}"/>
    <cellStyle name="Bad 11 3" xfId="18053" xr:uid="{00000000-0005-0000-0000-000060410000}"/>
    <cellStyle name="Bad 12" xfId="870" xr:uid="{00000000-0005-0000-0000-000061410000}"/>
    <cellStyle name="Bad 12 2" xfId="18055" xr:uid="{00000000-0005-0000-0000-000062410000}"/>
    <cellStyle name="Bad 13" xfId="871" xr:uid="{00000000-0005-0000-0000-000063410000}"/>
    <cellStyle name="Bad 13 2" xfId="18050" xr:uid="{00000000-0005-0000-0000-000064410000}"/>
    <cellStyle name="Bad 14" xfId="969" xr:uid="{00000000-0005-0000-0000-000065410000}"/>
    <cellStyle name="Bad 2" xfId="92" xr:uid="{00000000-0005-0000-0000-000066410000}"/>
    <cellStyle name="Bad 2 10" xfId="1691" xr:uid="{00000000-0005-0000-0000-000067410000}"/>
    <cellStyle name="Bad 2 10 2" xfId="18058" xr:uid="{00000000-0005-0000-0000-000068410000}"/>
    <cellStyle name="Bad 2 10 3" xfId="18057" xr:uid="{00000000-0005-0000-0000-000069410000}"/>
    <cellStyle name="Bad 2 11" xfId="2026" xr:uid="{00000000-0005-0000-0000-00006A410000}"/>
    <cellStyle name="Bad 2 11 2" xfId="18060" xr:uid="{00000000-0005-0000-0000-00006B410000}"/>
    <cellStyle name="Bad 2 11 3" xfId="18059" xr:uid="{00000000-0005-0000-0000-00006C410000}"/>
    <cellStyle name="Bad 2 12" xfId="2400" xr:uid="{00000000-0005-0000-0000-00006D410000}"/>
    <cellStyle name="Bad 2 12 2" xfId="18062" xr:uid="{00000000-0005-0000-0000-00006E410000}"/>
    <cellStyle name="Bad 2 12 3" xfId="18061" xr:uid="{00000000-0005-0000-0000-00006F410000}"/>
    <cellStyle name="Bad 2 13" xfId="2773" xr:uid="{00000000-0005-0000-0000-000070410000}"/>
    <cellStyle name="Bad 2 13 2" xfId="18064" xr:uid="{00000000-0005-0000-0000-000071410000}"/>
    <cellStyle name="Bad 2 13 3" xfId="18063" xr:uid="{00000000-0005-0000-0000-000072410000}"/>
    <cellStyle name="Bad 2 14" xfId="3147" xr:uid="{00000000-0005-0000-0000-000073410000}"/>
    <cellStyle name="Bad 2 14 2" xfId="18066" xr:uid="{00000000-0005-0000-0000-000074410000}"/>
    <cellStyle name="Bad 2 14 3" xfId="18065" xr:uid="{00000000-0005-0000-0000-000075410000}"/>
    <cellStyle name="Bad 2 15" xfId="3518" xr:uid="{00000000-0005-0000-0000-000076410000}"/>
    <cellStyle name="Bad 2 15 2" xfId="18068" xr:uid="{00000000-0005-0000-0000-000077410000}"/>
    <cellStyle name="Bad 2 15 3" xfId="18067" xr:uid="{00000000-0005-0000-0000-000078410000}"/>
    <cellStyle name="Bad 2 16" xfId="3656" xr:uid="{00000000-0005-0000-0000-000079410000}"/>
    <cellStyle name="Bad 2 16 2" xfId="18070" xr:uid="{00000000-0005-0000-0000-00007A410000}"/>
    <cellStyle name="Bad 2 16 3" xfId="18069" xr:uid="{00000000-0005-0000-0000-00007B410000}"/>
    <cellStyle name="Bad 2 17" xfId="18071" xr:uid="{00000000-0005-0000-0000-00007C410000}"/>
    <cellStyle name="Bad 2 17 2" xfId="18072" xr:uid="{00000000-0005-0000-0000-00007D410000}"/>
    <cellStyle name="Bad 2 18" xfId="18073" xr:uid="{00000000-0005-0000-0000-00007E410000}"/>
    <cellStyle name="Bad 2 19" xfId="18056" xr:uid="{00000000-0005-0000-0000-00007F410000}"/>
    <cellStyle name="Bad 2 2" xfId="136" xr:uid="{00000000-0005-0000-0000-000080410000}"/>
    <cellStyle name="Bad 2 2 2" xfId="159" xr:uid="{00000000-0005-0000-0000-000081410000}"/>
    <cellStyle name="Bad 2 2 2 2" xfId="18076" xr:uid="{00000000-0005-0000-0000-000082410000}"/>
    <cellStyle name="Bad 2 2 2 3" xfId="18075" xr:uid="{00000000-0005-0000-0000-000083410000}"/>
    <cellStyle name="Bad 2 2 3" xfId="323" xr:uid="{00000000-0005-0000-0000-000084410000}"/>
    <cellStyle name="Bad 2 2 3 2" xfId="18078" xr:uid="{00000000-0005-0000-0000-000085410000}"/>
    <cellStyle name="Bad 2 2 3 3" xfId="18077" xr:uid="{00000000-0005-0000-0000-000086410000}"/>
    <cellStyle name="Bad 2 2 4" xfId="2146" xr:uid="{00000000-0005-0000-0000-000087410000}"/>
    <cellStyle name="Bad 2 2 4 2" xfId="18080" xr:uid="{00000000-0005-0000-0000-000088410000}"/>
    <cellStyle name="Bad 2 2 4 3" xfId="18079" xr:uid="{00000000-0005-0000-0000-000089410000}"/>
    <cellStyle name="Bad 2 2 5" xfId="2520" xr:uid="{00000000-0005-0000-0000-00008A410000}"/>
    <cellStyle name="Bad 2 2 5 2" xfId="18082" xr:uid="{00000000-0005-0000-0000-00008B410000}"/>
    <cellStyle name="Bad 2 2 5 3" xfId="18081" xr:uid="{00000000-0005-0000-0000-00008C410000}"/>
    <cellStyle name="Bad 2 2 6" xfId="2892" xr:uid="{00000000-0005-0000-0000-00008D410000}"/>
    <cellStyle name="Bad 2 2 6 2" xfId="18084" xr:uid="{00000000-0005-0000-0000-00008E410000}"/>
    <cellStyle name="Bad 2 2 6 3" xfId="18083" xr:uid="{00000000-0005-0000-0000-00008F410000}"/>
    <cellStyle name="Bad 2 2 7" xfId="3263" xr:uid="{00000000-0005-0000-0000-000090410000}"/>
    <cellStyle name="Bad 2 2 7 2" xfId="18086" xr:uid="{00000000-0005-0000-0000-000091410000}"/>
    <cellStyle name="Bad 2 2 7 3" xfId="18085" xr:uid="{00000000-0005-0000-0000-000092410000}"/>
    <cellStyle name="Bad 2 2 8" xfId="18087" xr:uid="{00000000-0005-0000-0000-000093410000}"/>
    <cellStyle name="Bad 2 2 9" xfId="18074" xr:uid="{00000000-0005-0000-0000-000094410000}"/>
    <cellStyle name="Bad 2 20" xfId="24490" xr:uid="{00000000-0005-0000-0000-000095410000}"/>
    <cellStyle name="Bad 2 3" xfId="301" xr:uid="{00000000-0005-0000-0000-000096410000}"/>
    <cellStyle name="Bad 2 3 2" xfId="1322" xr:uid="{00000000-0005-0000-0000-000097410000}"/>
    <cellStyle name="Bad 2 3 2 2" xfId="18089" xr:uid="{00000000-0005-0000-0000-000098410000}"/>
    <cellStyle name="Bad 2 3 3" xfId="18088" xr:uid="{00000000-0005-0000-0000-000099410000}"/>
    <cellStyle name="Bad 2 4" xfId="454" xr:uid="{00000000-0005-0000-0000-00009A410000}"/>
    <cellStyle name="Bad 2 4 2" xfId="18091" xr:uid="{00000000-0005-0000-0000-00009B410000}"/>
    <cellStyle name="Bad 2 4 3" xfId="18090" xr:uid="{00000000-0005-0000-0000-00009C410000}"/>
    <cellStyle name="Bad 2 5" xfId="591" xr:uid="{00000000-0005-0000-0000-00009D410000}"/>
    <cellStyle name="Bad 2 5 2" xfId="18093" xr:uid="{00000000-0005-0000-0000-00009E410000}"/>
    <cellStyle name="Bad 2 5 3" xfId="18092" xr:uid="{00000000-0005-0000-0000-00009F410000}"/>
    <cellStyle name="Bad 2 6" xfId="738" xr:uid="{00000000-0005-0000-0000-0000A0410000}"/>
    <cellStyle name="Bad 2 6 2" xfId="18095" xr:uid="{00000000-0005-0000-0000-0000A1410000}"/>
    <cellStyle name="Bad 2 6 3" xfId="18094" xr:uid="{00000000-0005-0000-0000-0000A2410000}"/>
    <cellStyle name="Bad 2 7" xfId="739" xr:uid="{00000000-0005-0000-0000-0000A3410000}"/>
    <cellStyle name="Bad 2 7 2" xfId="18097" xr:uid="{00000000-0005-0000-0000-0000A4410000}"/>
    <cellStyle name="Bad 2 7 3" xfId="18096" xr:uid="{00000000-0005-0000-0000-0000A5410000}"/>
    <cellStyle name="Bad 2 8" xfId="872" xr:uid="{00000000-0005-0000-0000-0000A6410000}"/>
    <cellStyle name="Bad 2 8 2" xfId="1420" xr:uid="{00000000-0005-0000-0000-0000A7410000}"/>
    <cellStyle name="Bad 2 8 2 2" xfId="18099" xr:uid="{00000000-0005-0000-0000-0000A8410000}"/>
    <cellStyle name="Bad 2 8 3" xfId="18098" xr:uid="{00000000-0005-0000-0000-0000A9410000}"/>
    <cellStyle name="Bad 2 9" xfId="970" xr:uid="{00000000-0005-0000-0000-0000AA410000}"/>
    <cellStyle name="Bad 2 9 2" xfId="1557" xr:uid="{00000000-0005-0000-0000-0000AB410000}"/>
    <cellStyle name="Bad 2 9 2 2" xfId="18101" xr:uid="{00000000-0005-0000-0000-0000AC410000}"/>
    <cellStyle name="Bad 2 9 3" xfId="18100" xr:uid="{00000000-0005-0000-0000-0000AD410000}"/>
    <cellStyle name="Bad 3" xfId="200" xr:uid="{00000000-0005-0000-0000-0000AE410000}"/>
    <cellStyle name="Bad 3 10" xfId="3699" xr:uid="{00000000-0005-0000-0000-0000AF410000}"/>
    <cellStyle name="Bad 3 10 2" xfId="18104" xr:uid="{00000000-0005-0000-0000-0000B0410000}"/>
    <cellStyle name="Bad 3 10 3" xfId="18103" xr:uid="{00000000-0005-0000-0000-0000B1410000}"/>
    <cellStyle name="Bad 3 11" xfId="18105" xr:uid="{00000000-0005-0000-0000-0000B2410000}"/>
    <cellStyle name="Bad 3 11 2" xfId="18106" xr:uid="{00000000-0005-0000-0000-0000B3410000}"/>
    <cellStyle name="Bad 3 12" xfId="18107" xr:uid="{00000000-0005-0000-0000-0000B4410000}"/>
    <cellStyle name="Bad 3 13" xfId="18102" xr:uid="{00000000-0005-0000-0000-0000B5410000}"/>
    <cellStyle name="Bad 3 2" xfId="1472" xr:uid="{00000000-0005-0000-0000-0000B6410000}"/>
    <cellStyle name="Bad 3 2 2" xfId="1811" xr:uid="{00000000-0005-0000-0000-0000B7410000}"/>
    <cellStyle name="Bad 3 2 2 2" xfId="18110" xr:uid="{00000000-0005-0000-0000-0000B8410000}"/>
    <cellStyle name="Bad 3 2 2 3" xfId="18109" xr:uid="{00000000-0005-0000-0000-0000B9410000}"/>
    <cellStyle name="Bad 3 2 3" xfId="2186" xr:uid="{00000000-0005-0000-0000-0000BA410000}"/>
    <cellStyle name="Bad 3 2 3 2" xfId="18112" xr:uid="{00000000-0005-0000-0000-0000BB410000}"/>
    <cellStyle name="Bad 3 2 3 3" xfId="18111" xr:uid="{00000000-0005-0000-0000-0000BC410000}"/>
    <cellStyle name="Bad 3 2 4" xfId="2560" xr:uid="{00000000-0005-0000-0000-0000BD410000}"/>
    <cellStyle name="Bad 3 2 4 2" xfId="18114" xr:uid="{00000000-0005-0000-0000-0000BE410000}"/>
    <cellStyle name="Bad 3 2 4 3" xfId="18113" xr:uid="{00000000-0005-0000-0000-0000BF410000}"/>
    <cellStyle name="Bad 3 2 5" xfId="2932" xr:uid="{00000000-0005-0000-0000-0000C0410000}"/>
    <cellStyle name="Bad 3 2 5 2" xfId="18116" xr:uid="{00000000-0005-0000-0000-0000C1410000}"/>
    <cellStyle name="Bad 3 2 5 3" xfId="18115" xr:uid="{00000000-0005-0000-0000-0000C2410000}"/>
    <cellStyle name="Bad 3 2 6" xfId="3304" xr:uid="{00000000-0005-0000-0000-0000C3410000}"/>
    <cellStyle name="Bad 3 2 6 2" xfId="18118" xr:uid="{00000000-0005-0000-0000-0000C4410000}"/>
    <cellStyle name="Bad 3 2 6 3" xfId="18117" xr:uid="{00000000-0005-0000-0000-0000C5410000}"/>
    <cellStyle name="Bad 3 2 7" xfId="18119" xr:uid="{00000000-0005-0000-0000-0000C6410000}"/>
    <cellStyle name="Bad 3 2 8" xfId="18108" xr:uid="{00000000-0005-0000-0000-0000C7410000}"/>
    <cellStyle name="Bad 3 3" xfId="1599" xr:uid="{00000000-0005-0000-0000-0000C8410000}"/>
    <cellStyle name="Bad 3 3 2" xfId="1888" xr:uid="{00000000-0005-0000-0000-0000C9410000}"/>
    <cellStyle name="Bad 3 3 2 2" xfId="18122" xr:uid="{00000000-0005-0000-0000-0000CA410000}"/>
    <cellStyle name="Bad 3 3 2 3" xfId="18121" xr:uid="{00000000-0005-0000-0000-0000CB410000}"/>
    <cellStyle name="Bad 3 3 3" xfId="2263" xr:uid="{00000000-0005-0000-0000-0000CC410000}"/>
    <cellStyle name="Bad 3 3 3 2" xfId="18124" xr:uid="{00000000-0005-0000-0000-0000CD410000}"/>
    <cellStyle name="Bad 3 3 3 3" xfId="18123" xr:uid="{00000000-0005-0000-0000-0000CE410000}"/>
    <cellStyle name="Bad 3 3 4" xfId="2636" xr:uid="{00000000-0005-0000-0000-0000CF410000}"/>
    <cellStyle name="Bad 3 3 4 2" xfId="18126" xr:uid="{00000000-0005-0000-0000-0000D0410000}"/>
    <cellStyle name="Bad 3 3 4 3" xfId="18125" xr:uid="{00000000-0005-0000-0000-0000D1410000}"/>
    <cellStyle name="Bad 3 3 5" xfId="3009" xr:uid="{00000000-0005-0000-0000-0000D2410000}"/>
    <cellStyle name="Bad 3 3 5 2" xfId="18128" xr:uid="{00000000-0005-0000-0000-0000D3410000}"/>
    <cellStyle name="Bad 3 3 5 3" xfId="18127" xr:uid="{00000000-0005-0000-0000-0000D4410000}"/>
    <cellStyle name="Bad 3 3 6" xfId="3380" xr:uid="{00000000-0005-0000-0000-0000D5410000}"/>
    <cellStyle name="Bad 3 3 6 2" xfId="18130" xr:uid="{00000000-0005-0000-0000-0000D6410000}"/>
    <cellStyle name="Bad 3 3 6 3" xfId="18129" xr:uid="{00000000-0005-0000-0000-0000D7410000}"/>
    <cellStyle name="Bad 3 3 7" xfId="18131" xr:uid="{00000000-0005-0000-0000-0000D8410000}"/>
    <cellStyle name="Bad 3 3 8" xfId="18120" xr:uid="{00000000-0005-0000-0000-0000D9410000}"/>
    <cellStyle name="Bad 3 4" xfId="1736" xr:uid="{00000000-0005-0000-0000-0000DA410000}"/>
    <cellStyle name="Bad 3 4 2" xfId="1932" xr:uid="{00000000-0005-0000-0000-0000DB410000}"/>
    <cellStyle name="Bad 3 4 2 2" xfId="18134" xr:uid="{00000000-0005-0000-0000-0000DC410000}"/>
    <cellStyle name="Bad 3 4 2 3" xfId="18133" xr:uid="{00000000-0005-0000-0000-0000DD410000}"/>
    <cellStyle name="Bad 3 4 3" xfId="2307" xr:uid="{00000000-0005-0000-0000-0000DE410000}"/>
    <cellStyle name="Bad 3 4 3 2" xfId="18136" xr:uid="{00000000-0005-0000-0000-0000DF410000}"/>
    <cellStyle name="Bad 3 4 3 3" xfId="18135" xr:uid="{00000000-0005-0000-0000-0000E0410000}"/>
    <cellStyle name="Bad 3 4 4" xfId="2680" xr:uid="{00000000-0005-0000-0000-0000E1410000}"/>
    <cellStyle name="Bad 3 4 4 2" xfId="18138" xr:uid="{00000000-0005-0000-0000-0000E2410000}"/>
    <cellStyle name="Bad 3 4 4 3" xfId="18137" xr:uid="{00000000-0005-0000-0000-0000E3410000}"/>
    <cellStyle name="Bad 3 4 5" xfId="3053" xr:uid="{00000000-0005-0000-0000-0000E4410000}"/>
    <cellStyle name="Bad 3 4 5 2" xfId="18140" xr:uid="{00000000-0005-0000-0000-0000E5410000}"/>
    <cellStyle name="Bad 3 4 5 3" xfId="18139" xr:uid="{00000000-0005-0000-0000-0000E6410000}"/>
    <cellStyle name="Bad 3 4 6" xfId="3424" xr:uid="{00000000-0005-0000-0000-0000E7410000}"/>
    <cellStyle name="Bad 3 4 6 2" xfId="18142" xr:uid="{00000000-0005-0000-0000-0000E8410000}"/>
    <cellStyle name="Bad 3 4 6 3" xfId="18141" xr:uid="{00000000-0005-0000-0000-0000E9410000}"/>
    <cellStyle name="Bad 3 4 7" xfId="18143" xr:uid="{00000000-0005-0000-0000-0000EA410000}"/>
    <cellStyle name="Bad 3 4 8" xfId="18132" xr:uid="{00000000-0005-0000-0000-0000EB410000}"/>
    <cellStyle name="Bad 3 5" xfId="2071" xr:uid="{00000000-0005-0000-0000-0000EC410000}"/>
    <cellStyle name="Bad 3 5 2" xfId="18145" xr:uid="{00000000-0005-0000-0000-0000ED410000}"/>
    <cellStyle name="Bad 3 5 3" xfId="18144" xr:uid="{00000000-0005-0000-0000-0000EE410000}"/>
    <cellStyle name="Bad 3 6" xfId="2445" xr:uid="{00000000-0005-0000-0000-0000EF410000}"/>
    <cellStyle name="Bad 3 6 2" xfId="18147" xr:uid="{00000000-0005-0000-0000-0000F0410000}"/>
    <cellStyle name="Bad 3 6 3" xfId="18146" xr:uid="{00000000-0005-0000-0000-0000F1410000}"/>
    <cellStyle name="Bad 3 7" xfId="2817" xr:uid="{00000000-0005-0000-0000-0000F2410000}"/>
    <cellStyle name="Bad 3 7 2" xfId="18149" xr:uid="{00000000-0005-0000-0000-0000F3410000}"/>
    <cellStyle name="Bad 3 7 3" xfId="18148" xr:uid="{00000000-0005-0000-0000-0000F4410000}"/>
    <cellStyle name="Bad 3 8" xfId="3188" xr:uid="{00000000-0005-0000-0000-0000F5410000}"/>
    <cellStyle name="Bad 3 8 2" xfId="18151" xr:uid="{00000000-0005-0000-0000-0000F6410000}"/>
    <cellStyle name="Bad 3 8 3" xfId="18150" xr:uid="{00000000-0005-0000-0000-0000F7410000}"/>
    <cellStyle name="Bad 3 9" xfId="3563" xr:uid="{00000000-0005-0000-0000-0000F8410000}"/>
    <cellStyle name="Bad 3 9 2" xfId="18153" xr:uid="{00000000-0005-0000-0000-0000F9410000}"/>
    <cellStyle name="Bad 3 9 3" xfId="18152" xr:uid="{00000000-0005-0000-0000-0000FA410000}"/>
    <cellStyle name="Bad 4" xfId="259" xr:uid="{00000000-0005-0000-0000-0000FB410000}"/>
    <cellStyle name="Bad 4 10" xfId="3743" xr:uid="{00000000-0005-0000-0000-0000FC410000}"/>
    <cellStyle name="Bad 4 10 2" xfId="18156" xr:uid="{00000000-0005-0000-0000-0000FD410000}"/>
    <cellStyle name="Bad 4 10 3" xfId="18155" xr:uid="{00000000-0005-0000-0000-0000FE410000}"/>
    <cellStyle name="Bad 4 11" xfId="1282" xr:uid="{00000000-0005-0000-0000-0000FF410000}"/>
    <cellStyle name="Bad 4 11 2" xfId="18158" xr:uid="{00000000-0005-0000-0000-000000420000}"/>
    <cellStyle name="Bad 4 11 3" xfId="18157" xr:uid="{00000000-0005-0000-0000-000001420000}"/>
    <cellStyle name="Bad 4 12" xfId="18159" xr:uid="{00000000-0005-0000-0000-000002420000}"/>
    <cellStyle name="Bad 4 13" xfId="18154" xr:uid="{00000000-0005-0000-0000-000003420000}"/>
    <cellStyle name="Bad 4 2" xfId="1517" xr:uid="{00000000-0005-0000-0000-000004420000}"/>
    <cellStyle name="Bad 4 2 2" xfId="18161" xr:uid="{00000000-0005-0000-0000-000005420000}"/>
    <cellStyle name="Bad 4 2 3" xfId="18160" xr:uid="{00000000-0005-0000-0000-000006420000}"/>
    <cellStyle name="Bad 4 3" xfId="1642" xr:uid="{00000000-0005-0000-0000-000007420000}"/>
    <cellStyle name="Bad 4 3 2" xfId="18163" xr:uid="{00000000-0005-0000-0000-000008420000}"/>
    <cellStyle name="Bad 4 3 3" xfId="18162" xr:uid="{00000000-0005-0000-0000-000009420000}"/>
    <cellStyle name="Bad 4 4" xfId="1785" xr:uid="{00000000-0005-0000-0000-00000A420000}"/>
    <cellStyle name="Bad 4 4 2" xfId="18165" xr:uid="{00000000-0005-0000-0000-00000B420000}"/>
    <cellStyle name="Bad 4 4 3" xfId="18164" xr:uid="{00000000-0005-0000-0000-00000C420000}"/>
    <cellStyle name="Bad 4 5" xfId="2120" xr:uid="{00000000-0005-0000-0000-00000D420000}"/>
    <cellStyle name="Bad 4 5 2" xfId="18167" xr:uid="{00000000-0005-0000-0000-00000E420000}"/>
    <cellStyle name="Bad 4 5 3" xfId="18166" xr:uid="{00000000-0005-0000-0000-00000F420000}"/>
    <cellStyle name="Bad 4 6" xfId="2494" xr:uid="{00000000-0005-0000-0000-000010420000}"/>
    <cellStyle name="Bad 4 6 2" xfId="18169" xr:uid="{00000000-0005-0000-0000-000011420000}"/>
    <cellStyle name="Bad 4 6 3" xfId="18168" xr:uid="{00000000-0005-0000-0000-000012420000}"/>
    <cellStyle name="Bad 4 7" xfId="2866" xr:uid="{00000000-0005-0000-0000-000013420000}"/>
    <cellStyle name="Bad 4 7 2" xfId="18171" xr:uid="{00000000-0005-0000-0000-000014420000}"/>
    <cellStyle name="Bad 4 7 3" xfId="18170" xr:uid="{00000000-0005-0000-0000-000015420000}"/>
    <cellStyle name="Bad 4 8" xfId="3237" xr:uid="{00000000-0005-0000-0000-000016420000}"/>
    <cellStyle name="Bad 4 8 2" xfId="18173" xr:uid="{00000000-0005-0000-0000-000017420000}"/>
    <cellStyle name="Bad 4 8 3" xfId="18172" xr:uid="{00000000-0005-0000-0000-000018420000}"/>
    <cellStyle name="Bad 4 9" xfId="3606" xr:uid="{00000000-0005-0000-0000-000019420000}"/>
    <cellStyle name="Bad 4 9 2" xfId="18175" xr:uid="{00000000-0005-0000-0000-00001A420000}"/>
    <cellStyle name="Bad 4 9 3" xfId="18174" xr:uid="{00000000-0005-0000-0000-00001B420000}"/>
    <cellStyle name="Bad 5" xfId="455" xr:uid="{00000000-0005-0000-0000-00001C420000}"/>
    <cellStyle name="Bad 5 2" xfId="1854" xr:uid="{00000000-0005-0000-0000-00001D420000}"/>
    <cellStyle name="Bad 5 2 2" xfId="18178" xr:uid="{00000000-0005-0000-0000-00001E420000}"/>
    <cellStyle name="Bad 5 2 3" xfId="18177" xr:uid="{00000000-0005-0000-0000-00001F420000}"/>
    <cellStyle name="Bad 5 3" xfId="2229" xr:uid="{00000000-0005-0000-0000-000020420000}"/>
    <cellStyle name="Bad 5 3 2" xfId="18180" xr:uid="{00000000-0005-0000-0000-000021420000}"/>
    <cellStyle name="Bad 5 3 3" xfId="18179" xr:uid="{00000000-0005-0000-0000-000022420000}"/>
    <cellStyle name="Bad 5 4" xfId="2603" xr:uid="{00000000-0005-0000-0000-000023420000}"/>
    <cellStyle name="Bad 5 4 2" xfId="18182" xr:uid="{00000000-0005-0000-0000-000024420000}"/>
    <cellStyle name="Bad 5 4 3" xfId="18181" xr:uid="{00000000-0005-0000-0000-000025420000}"/>
    <cellStyle name="Bad 5 5" xfId="2975" xr:uid="{00000000-0005-0000-0000-000026420000}"/>
    <cellStyle name="Bad 5 5 2" xfId="18184" xr:uid="{00000000-0005-0000-0000-000027420000}"/>
    <cellStyle name="Bad 5 5 3" xfId="18183" xr:uid="{00000000-0005-0000-0000-000028420000}"/>
    <cellStyle name="Bad 5 6" xfId="3347" xr:uid="{00000000-0005-0000-0000-000029420000}"/>
    <cellStyle name="Bad 5 6 2" xfId="18186" xr:uid="{00000000-0005-0000-0000-00002A420000}"/>
    <cellStyle name="Bad 5 6 3" xfId="18185" xr:uid="{00000000-0005-0000-0000-00002B420000}"/>
    <cellStyle name="Bad 5 7" xfId="18187" xr:uid="{00000000-0005-0000-0000-00002C420000}"/>
    <cellStyle name="Bad 5 7 2" xfId="18188" xr:uid="{00000000-0005-0000-0000-00002D420000}"/>
    <cellStyle name="Bad 5 8" xfId="18189" xr:uid="{00000000-0005-0000-0000-00002E420000}"/>
    <cellStyle name="Bad 5 9" xfId="18176" xr:uid="{00000000-0005-0000-0000-00002F420000}"/>
    <cellStyle name="Bad 6" xfId="456" xr:uid="{00000000-0005-0000-0000-000030420000}"/>
    <cellStyle name="Bad 6 10" xfId="18190" xr:uid="{00000000-0005-0000-0000-000031420000}"/>
    <cellStyle name="Bad 6 2" xfId="1993" xr:uid="{00000000-0005-0000-0000-000032420000}"/>
    <cellStyle name="Bad 6 2 2" xfId="18192" xr:uid="{00000000-0005-0000-0000-000033420000}"/>
    <cellStyle name="Bad 6 2 3" xfId="18191" xr:uid="{00000000-0005-0000-0000-000034420000}"/>
    <cellStyle name="Bad 6 3" xfId="2368" xr:uid="{00000000-0005-0000-0000-000035420000}"/>
    <cellStyle name="Bad 6 3 2" xfId="18194" xr:uid="{00000000-0005-0000-0000-000036420000}"/>
    <cellStyle name="Bad 6 3 3" xfId="18193" xr:uid="{00000000-0005-0000-0000-000037420000}"/>
    <cellStyle name="Bad 6 4" xfId="2741" xr:uid="{00000000-0005-0000-0000-000038420000}"/>
    <cellStyle name="Bad 6 4 2" xfId="18196" xr:uid="{00000000-0005-0000-0000-000039420000}"/>
    <cellStyle name="Bad 6 4 3" xfId="18195" xr:uid="{00000000-0005-0000-0000-00003A420000}"/>
    <cellStyle name="Bad 6 5" xfId="3114" xr:uid="{00000000-0005-0000-0000-00003B420000}"/>
    <cellStyle name="Bad 6 5 2" xfId="18198" xr:uid="{00000000-0005-0000-0000-00003C420000}"/>
    <cellStyle name="Bad 6 5 3" xfId="18197" xr:uid="{00000000-0005-0000-0000-00003D420000}"/>
    <cellStyle name="Bad 6 6" xfId="3485" xr:uid="{00000000-0005-0000-0000-00003E420000}"/>
    <cellStyle name="Bad 6 6 2" xfId="18200" xr:uid="{00000000-0005-0000-0000-00003F420000}"/>
    <cellStyle name="Bad 6 6 3" xfId="18199" xr:uid="{00000000-0005-0000-0000-000040420000}"/>
    <cellStyle name="Bad 6 7" xfId="3791" xr:uid="{00000000-0005-0000-0000-000041420000}"/>
    <cellStyle name="Bad 6 7 2" xfId="18202" xr:uid="{00000000-0005-0000-0000-000042420000}"/>
    <cellStyle name="Bad 6 7 3" xfId="18201" xr:uid="{00000000-0005-0000-0000-000043420000}"/>
    <cellStyle name="Bad 6 8" xfId="18203" xr:uid="{00000000-0005-0000-0000-000044420000}"/>
    <cellStyle name="Bad 6 8 2" xfId="18204" xr:uid="{00000000-0005-0000-0000-000045420000}"/>
    <cellStyle name="Bad 6 9" xfId="18205" xr:uid="{00000000-0005-0000-0000-000046420000}"/>
    <cellStyle name="Bad 7" xfId="457" xr:uid="{00000000-0005-0000-0000-000047420000}"/>
    <cellStyle name="Bad 7 2" xfId="18207" xr:uid="{00000000-0005-0000-0000-000048420000}"/>
    <cellStyle name="Bad 7 3" xfId="18206" xr:uid="{00000000-0005-0000-0000-000049420000}"/>
    <cellStyle name="Bad 8" xfId="592" xr:uid="{00000000-0005-0000-0000-00004A420000}"/>
    <cellStyle name="Bad 8 2" xfId="18209" xr:uid="{00000000-0005-0000-0000-00004B420000}"/>
    <cellStyle name="Bad 8 3" xfId="18208" xr:uid="{00000000-0005-0000-0000-00004C420000}"/>
    <cellStyle name="Bad 9" xfId="593" xr:uid="{00000000-0005-0000-0000-00004D420000}"/>
    <cellStyle name="Bad 9 2" xfId="18211" xr:uid="{00000000-0005-0000-0000-00004E420000}"/>
    <cellStyle name="Bad 9 3" xfId="18210" xr:uid="{00000000-0005-0000-0000-00004F420000}"/>
    <cellStyle name="Calculation 10" xfId="740" xr:uid="{00000000-0005-0000-0000-000050420000}"/>
    <cellStyle name="Calculation 10 2" xfId="18214" xr:uid="{00000000-0005-0000-0000-000051420000}"/>
    <cellStyle name="Calculation 10 3" xfId="18213" xr:uid="{00000000-0005-0000-0000-000052420000}"/>
    <cellStyle name="Calculation 11" xfId="741" xr:uid="{00000000-0005-0000-0000-000053420000}"/>
    <cellStyle name="Calculation 11 2" xfId="18216" xr:uid="{00000000-0005-0000-0000-000054420000}"/>
    <cellStyle name="Calculation 11 3" xfId="18215" xr:uid="{00000000-0005-0000-0000-000055420000}"/>
    <cellStyle name="Calculation 12" xfId="873" xr:uid="{00000000-0005-0000-0000-000056420000}"/>
    <cellStyle name="Calculation 12 2" xfId="18217" xr:uid="{00000000-0005-0000-0000-000057420000}"/>
    <cellStyle name="Calculation 13" xfId="874" xr:uid="{00000000-0005-0000-0000-000058420000}"/>
    <cellStyle name="Calculation 13 2" xfId="18212" xr:uid="{00000000-0005-0000-0000-000059420000}"/>
    <cellStyle name="Calculation 14" xfId="971" xr:uid="{00000000-0005-0000-0000-00005A420000}"/>
    <cellStyle name="Calculation 2" xfId="93" xr:uid="{00000000-0005-0000-0000-00005B420000}"/>
    <cellStyle name="Calculation 2 10" xfId="1692" xr:uid="{00000000-0005-0000-0000-00005C420000}"/>
    <cellStyle name="Calculation 2 10 2" xfId="18220" xr:uid="{00000000-0005-0000-0000-00005D420000}"/>
    <cellStyle name="Calculation 2 10 3" xfId="18219" xr:uid="{00000000-0005-0000-0000-00005E420000}"/>
    <cellStyle name="Calculation 2 11" xfId="2027" xr:uid="{00000000-0005-0000-0000-00005F420000}"/>
    <cellStyle name="Calculation 2 11 2" xfId="18222" xr:uid="{00000000-0005-0000-0000-000060420000}"/>
    <cellStyle name="Calculation 2 11 3" xfId="18221" xr:uid="{00000000-0005-0000-0000-000061420000}"/>
    <cellStyle name="Calculation 2 12" xfId="2401" xr:uid="{00000000-0005-0000-0000-000062420000}"/>
    <cellStyle name="Calculation 2 12 2" xfId="18224" xr:uid="{00000000-0005-0000-0000-000063420000}"/>
    <cellStyle name="Calculation 2 12 3" xfId="18223" xr:uid="{00000000-0005-0000-0000-000064420000}"/>
    <cellStyle name="Calculation 2 13" xfId="2774" xr:uid="{00000000-0005-0000-0000-000065420000}"/>
    <cellStyle name="Calculation 2 13 2" xfId="18226" xr:uid="{00000000-0005-0000-0000-000066420000}"/>
    <cellStyle name="Calculation 2 13 3" xfId="18225" xr:uid="{00000000-0005-0000-0000-000067420000}"/>
    <cellStyle name="Calculation 2 14" xfId="3148" xr:uid="{00000000-0005-0000-0000-000068420000}"/>
    <cellStyle name="Calculation 2 14 2" xfId="18228" xr:uid="{00000000-0005-0000-0000-000069420000}"/>
    <cellStyle name="Calculation 2 14 3" xfId="18227" xr:uid="{00000000-0005-0000-0000-00006A420000}"/>
    <cellStyle name="Calculation 2 15" xfId="3519" xr:uid="{00000000-0005-0000-0000-00006B420000}"/>
    <cellStyle name="Calculation 2 15 2" xfId="18230" xr:uid="{00000000-0005-0000-0000-00006C420000}"/>
    <cellStyle name="Calculation 2 15 3" xfId="18229" xr:uid="{00000000-0005-0000-0000-00006D420000}"/>
    <cellStyle name="Calculation 2 16" xfId="3657" xr:uid="{00000000-0005-0000-0000-00006E420000}"/>
    <cellStyle name="Calculation 2 16 2" xfId="18232" xr:uid="{00000000-0005-0000-0000-00006F420000}"/>
    <cellStyle name="Calculation 2 16 3" xfId="18231" xr:uid="{00000000-0005-0000-0000-000070420000}"/>
    <cellStyle name="Calculation 2 17" xfId="18233" xr:uid="{00000000-0005-0000-0000-000071420000}"/>
    <cellStyle name="Calculation 2 17 2" xfId="18234" xr:uid="{00000000-0005-0000-0000-000072420000}"/>
    <cellStyle name="Calculation 2 18" xfId="18235" xr:uid="{00000000-0005-0000-0000-000073420000}"/>
    <cellStyle name="Calculation 2 19" xfId="18218" xr:uid="{00000000-0005-0000-0000-000074420000}"/>
    <cellStyle name="Calculation 2 2" xfId="137" xr:uid="{00000000-0005-0000-0000-000075420000}"/>
    <cellStyle name="Calculation 2 2 2" xfId="163" xr:uid="{00000000-0005-0000-0000-000076420000}"/>
    <cellStyle name="Calculation 2 2 2 2" xfId="18238" xr:uid="{00000000-0005-0000-0000-000077420000}"/>
    <cellStyle name="Calculation 2 2 2 3" xfId="18237" xr:uid="{00000000-0005-0000-0000-000078420000}"/>
    <cellStyle name="Calculation 2 2 3" xfId="327" xr:uid="{00000000-0005-0000-0000-000079420000}"/>
    <cellStyle name="Calculation 2 2 3 2" xfId="18240" xr:uid="{00000000-0005-0000-0000-00007A420000}"/>
    <cellStyle name="Calculation 2 2 3 3" xfId="18239" xr:uid="{00000000-0005-0000-0000-00007B420000}"/>
    <cellStyle name="Calculation 2 2 4" xfId="2150" xr:uid="{00000000-0005-0000-0000-00007C420000}"/>
    <cellStyle name="Calculation 2 2 4 2" xfId="18242" xr:uid="{00000000-0005-0000-0000-00007D420000}"/>
    <cellStyle name="Calculation 2 2 4 3" xfId="18241" xr:uid="{00000000-0005-0000-0000-00007E420000}"/>
    <cellStyle name="Calculation 2 2 5" xfId="2524" xr:uid="{00000000-0005-0000-0000-00007F420000}"/>
    <cellStyle name="Calculation 2 2 5 2" xfId="18244" xr:uid="{00000000-0005-0000-0000-000080420000}"/>
    <cellStyle name="Calculation 2 2 5 3" xfId="18243" xr:uid="{00000000-0005-0000-0000-000081420000}"/>
    <cellStyle name="Calculation 2 2 6" xfId="2896" xr:uid="{00000000-0005-0000-0000-000082420000}"/>
    <cellStyle name="Calculation 2 2 6 2" xfId="18246" xr:uid="{00000000-0005-0000-0000-000083420000}"/>
    <cellStyle name="Calculation 2 2 6 3" xfId="18245" xr:uid="{00000000-0005-0000-0000-000084420000}"/>
    <cellStyle name="Calculation 2 2 7" xfId="3267" xr:uid="{00000000-0005-0000-0000-000085420000}"/>
    <cellStyle name="Calculation 2 2 7 2" xfId="18248" xr:uid="{00000000-0005-0000-0000-000086420000}"/>
    <cellStyle name="Calculation 2 2 7 3" xfId="18247" xr:uid="{00000000-0005-0000-0000-000087420000}"/>
    <cellStyle name="Calculation 2 2 8" xfId="18249" xr:uid="{00000000-0005-0000-0000-000088420000}"/>
    <cellStyle name="Calculation 2 2 9" xfId="18236" xr:uid="{00000000-0005-0000-0000-000089420000}"/>
    <cellStyle name="Calculation 2 20" xfId="24491" xr:uid="{00000000-0005-0000-0000-00008A420000}"/>
    <cellStyle name="Calculation 2 3" xfId="302" xr:uid="{00000000-0005-0000-0000-00008B420000}"/>
    <cellStyle name="Calculation 2 3 2" xfId="1326" xr:uid="{00000000-0005-0000-0000-00008C420000}"/>
    <cellStyle name="Calculation 2 3 2 2" xfId="18251" xr:uid="{00000000-0005-0000-0000-00008D420000}"/>
    <cellStyle name="Calculation 2 3 3" xfId="18250" xr:uid="{00000000-0005-0000-0000-00008E420000}"/>
    <cellStyle name="Calculation 2 4" xfId="458" xr:uid="{00000000-0005-0000-0000-00008F420000}"/>
    <cellStyle name="Calculation 2 4 2" xfId="18253" xr:uid="{00000000-0005-0000-0000-000090420000}"/>
    <cellStyle name="Calculation 2 4 3" xfId="18252" xr:uid="{00000000-0005-0000-0000-000091420000}"/>
    <cellStyle name="Calculation 2 5" xfId="594" xr:uid="{00000000-0005-0000-0000-000092420000}"/>
    <cellStyle name="Calculation 2 5 2" xfId="18255" xr:uid="{00000000-0005-0000-0000-000093420000}"/>
    <cellStyle name="Calculation 2 5 3" xfId="18254" xr:uid="{00000000-0005-0000-0000-000094420000}"/>
    <cellStyle name="Calculation 2 6" xfId="742" xr:uid="{00000000-0005-0000-0000-000095420000}"/>
    <cellStyle name="Calculation 2 6 2" xfId="18257" xr:uid="{00000000-0005-0000-0000-000096420000}"/>
    <cellStyle name="Calculation 2 6 3" xfId="18256" xr:uid="{00000000-0005-0000-0000-000097420000}"/>
    <cellStyle name="Calculation 2 7" xfId="743" xr:uid="{00000000-0005-0000-0000-000098420000}"/>
    <cellStyle name="Calculation 2 7 2" xfId="18259" xr:uid="{00000000-0005-0000-0000-000099420000}"/>
    <cellStyle name="Calculation 2 7 3" xfId="18258" xr:uid="{00000000-0005-0000-0000-00009A420000}"/>
    <cellStyle name="Calculation 2 8" xfId="875" xr:uid="{00000000-0005-0000-0000-00009B420000}"/>
    <cellStyle name="Calculation 2 8 2" xfId="1421" xr:uid="{00000000-0005-0000-0000-00009C420000}"/>
    <cellStyle name="Calculation 2 8 2 2" xfId="18261" xr:uid="{00000000-0005-0000-0000-00009D420000}"/>
    <cellStyle name="Calculation 2 8 3" xfId="18260" xr:uid="{00000000-0005-0000-0000-00009E420000}"/>
    <cellStyle name="Calculation 2 9" xfId="972" xr:uid="{00000000-0005-0000-0000-00009F420000}"/>
    <cellStyle name="Calculation 2 9 2" xfId="1556" xr:uid="{00000000-0005-0000-0000-0000A0420000}"/>
    <cellStyle name="Calculation 2 9 2 2" xfId="18263" xr:uid="{00000000-0005-0000-0000-0000A1420000}"/>
    <cellStyle name="Calculation 2 9 3" xfId="18262" xr:uid="{00000000-0005-0000-0000-0000A2420000}"/>
    <cellStyle name="Calculation 3" xfId="204" xr:uid="{00000000-0005-0000-0000-0000A3420000}"/>
    <cellStyle name="Calculation 3 10" xfId="3700" xr:uid="{00000000-0005-0000-0000-0000A4420000}"/>
    <cellStyle name="Calculation 3 10 2" xfId="18266" xr:uid="{00000000-0005-0000-0000-0000A5420000}"/>
    <cellStyle name="Calculation 3 10 3" xfId="18265" xr:uid="{00000000-0005-0000-0000-0000A6420000}"/>
    <cellStyle name="Calculation 3 11" xfId="18267" xr:uid="{00000000-0005-0000-0000-0000A7420000}"/>
    <cellStyle name="Calculation 3 11 2" xfId="18268" xr:uid="{00000000-0005-0000-0000-0000A8420000}"/>
    <cellStyle name="Calculation 3 12" xfId="18269" xr:uid="{00000000-0005-0000-0000-0000A9420000}"/>
    <cellStyle name="Calculation 3 13" xfId="18264" xr:uid="{00000000-0005-0000-0000-0000AA420000}"/>
    <cellStyle name="Calculation 3 2" xfId="1473" xr:uid="{00000000-0005-0000-0000-0000AB420000}"/>
    <cellStyle name="Calculation 3 2 2" xfId="1815" xr:uid="{00000000-0005-0000-0000-0000AC420000}"/>
    <cellStyle name="Calculation 3 2 2 2" xfId="18272" xr:uid="{00000000-0005-0000-0000-0000AD420000}"/>
    <cellStyle name="Calculation 3 2 2 3" xfId="18271" xr:uid="{00000000-0005-0000-0000-0000AE420000}"/>
    <cellStyle name="Calculation 3 2 3" xfId="2190" xr:uid="{00000000-0005-0000-0000-0000AF420000}"/>
    <cellStyle name="Calculation 3 2 3 2" xfId="18274" xr:uid="{00000000-0005-0000-0000-0000B0420000}"/>
    <cellStyle name="Calculation 3 2 3 3" xfId="18273" xr:uid="{00000000-0005-0000-0000-0000B1420000}"/>
    <cellStyle name="Calculation 3 2 4" xfId="2564" xr:uid="{00000000-0005-0000-0000-0000B2420000}"/>
    <cellStyle name="Calculation 3 2 4 2" xfId="18276" xr:uid="{00000000-0005-0000-0000-0000B3420000}"/>
    <cellStyle name="Calculation 3 2 4 3" xfId="18275" xr:uid="{00000000-0005-0000-0000-0000B4420000}"/>
    <cellStyle name="Calculation 3 2 5" xfId="2936" xr:uid="{00000000-0005-0000-0000-0000B5420000}"/>
    <cellStyle name="Calculation 3 2 5 2" xfId="18278" xr:uid="{00000000-0005-0000-0000-0000B6420000}"/>
    <cellStyle name="Calculation 3 2 5 3" xfId="18277" xr:uid="{00000000-0005-0000-0000-0000B7420000}"/>
    <cellStyle name="Calculation 3 2 6" xfId="3308" xr:uid="{00000000-0005-0000-0000-0000B8420000}"/>
    <cellStyle name="Calculation 3 2 6 2" xfId="18280" xr:uid="{00000000-0005-0000-0000-0000B9420000}"/>
    <cellStyle name="Calculation 3 2 6 3" xfId="18279" xr:uid="{00000000-0005-0000-0000-0000BA420000}"/>
    <cellStyle name="Calculation 3 2 7" xfId="18281" xr:uid="{00000000-0005-0000-0000-0000BB420000}"/>
    <cellStyle name="Calculation 3 2 8" xfId="18270" xr:uid="{00000000-0005-0000-0000-0000BC420000}"/>
    <cellStyle name="Calculation 3 3" xfId="1600" xr:uid="{00000000-0005-0000-0000-0000BD420000}"/>
    <cellStyle name="Calculation 3 3 2" xfId="1892" xr:uid="{00000000-0005-0000-0000-0000BE420000}"/>
    <cellStyle name="Calculation 3 3 2 2" xfId="18284" xr:uid="{00000000-0005-0000-0000-0000BF420000}"/>
    <cellStyle name="Calculation 3 3 2 3" xfId="18283" xr:uid="{00000000-0005-0000-0000-0000C0420000}"/>
    <cellStyle name="Calculation 3 3 3" xfId="2267" xr:uid="{00000000-0005-0000-0000-0000C1420000}"/>
    <cellStyle name="Calculation 3 3 3 2" xfId="18286" xr:uid="{00000000-0005-0000-0000-0000C2420000}"/>
    <cellStyle name="Calculation 3 3 3 3" xfId="18285" xr:uid="{00000000-0005-0000-0000-0000C3420000}"/>
    <cellStyle name="Calculation 3 3 4" xfId="2640" xr:uid="{00000000-0005-0000-0000-0000C4420000}"/>
    <cellStyle name="Calculation 3 3 4 2" xfId="18288" xr:uid="{00000000-0005-0000-0000-0000C5420000}"/>
    <cellStyle name="Calculation 3 3 4 3" xfId="18287" xr:uid="{00000000-0005-0000-0000-0000C6420000}"/>
    <cellStyle name="Calculation 3 3 5" xfId="3013" xr:uid="{00000000-0005-0000-0000-0000C7420000}"/>
    <cellStyle name="Calculation 3 3 5 2" xfId="18290" xr:uid="{00000000-0005-0000-0000-0000C8420000}"/>
    <cellStyle name="Calculation 3 3 5 3" xfId="18289" xr:uid="{00000000-0005-0000-0000-0000C9420000}"/>
    <cellStyle name="Calculation 3 3 6" xfId="3384" xr:uid="{00000000-0005-0000-0000-0000CA420000}"/>
    <cellStyle name="Calculation 3 3 6 2" xfId="18292" xr:uid="{00000000-0005-0000-0000-0000CB420000}"/>
    <cellStyle name="Calculation 3 3 6 3" xfId="18291" xr:uid="{00000000-0005-0000-0000-0000CC420000}"/>
    <cellStyle name="Calculation 3 3 7" xfId="18293" xr:uid="{00000000-0005-0000-0000-0000CD420000}"/>
    <cellStyle name="Calculation 3 3 8" xfId="18282" xr:uid="{00000000-0005-0000-0000-0000CE420000}"/>
    <cellStyle name="Calculation 3 4" xfId="1737" xr:uid="{00000000-0005-0000-0000-0000CF420000}"/>
    <cellStyle name="Calculation 3 4 2" xfId="1936" xr:uid="{00000000-0005-0000-0000-0000D0420000}"/>
    <cellStyle name="Calculation 3 4 2 2" xfId="18296" xr:uid="{00000000-0005-0000-0000-0000D1420000}"/>
    <cellStyle name="Calculation 3 4 2 3" xfId="18295" xr:uid="{00000000-0005-0000-0000-0000D2420000}"/>
    <cellStyle name="Calculation 3 4 3" xfId="2311" xr:uid="{00000000-0005-0000-0000-0000D3420000}"/>
    <cellStyle name="Calculation 3 4 3 2" xfId="18298" xr:uid="{00000000-0005-0000-0000-0000D4420000}"/>
    <cellStyle name="Calculation 3 4 3 3" xfId="18297" xr:uid="{00000000-0005-0000-0000-0000D5420000}"/>
    <cellStyle name="Calculation 3 4 4" xfId="2684" xr:uid="{00000000-0005-0000-0000-0000D6420000}"/>
    <cellStyle name="Calculation 3 4 4 2" xfId="18300" xr:uid="{00000000-0005-0000-0000-0000D7420000}"/>
    <cellStyle name="Calculation 3 4 4 3" xfId="18299" xr:uid="{00000000-0005-0000-0000-0000D8420000}"/>
    <cellStyle name="Calculation 3 4 5" xfId="3057" xr:uid="{00000000-0005-0000-0000-0000D9420000}"/>
    <cellStyle name="Calculation 3 4 5 2" xfId="18302" xr:uid="{00000000-0005-0000-0000-0000DA420000}"/>
    <cellStyle name="Calculation 3 4 5 3" xfId="18301" xr:uid="{00000000-0005-0000-0000-0000DB420000}"/>
    <cellStyle name="Calculation 3 4 6" xfId="3428" xr:uid="{00000000-0005-0000-0000-0000DC420000}"/>
    <cellStyle name="Calculation 3 4 6 2" xfId="18304" xr:uid="{00000000-0005-0000-0000-0000DD420000}"/>
    <cellStyle name="Calculation 3 4 6 3" xfId="18303" xr:uid="{00000000-0005-0000-0000-0000DE420000}"/>
    <cellStyle name="Calculation 3 4 7" xfId="18305" xr:uid="{00000000-0005-0000-0000-0000DF420000}"/>
    <cellStyle name="Calculation 3 4 8" xfId="18294" xr:uid="{00000000-0005-0000-0000-0000E0420000}"/>
    <cellStyle name="Calculation 3 5" xfId="2072" xr:uid="{00000000-0005-0000-0000-0000E1420000}"/>
    <cellStyle name="Calculation 3 5 2" xfId="18307" xr:uid="{00000000-0005-0000-0000-0000E2420000}"/>
    <cellStyle name="Calculation 3 5 3" xfId="18306" xr:uid="{00000000-0005-0000-0000-0000E3420000}"/>
    <cellStyle name="Calculation 3 6" xfId="2446" xr:uid="{00000000-0005-0000-0000-0000E4420000}"/>
    <cellStyle name="Calculation 3 6 2" xfId="18309" xr:uid="{00000000-0005-0000-0000-0000E5420000}"/>
    <cellStyle name="Calculation 3 6 3" xfId="18308" xr:uid="{00000000-0005-0000-0000-0000E6420000}"/>
    <cellStyle name="Calculation 3 7" xfId="2818" xr:uid="{00000000-0005-0000-0000-0000E7420000}"/>
    <cellStyle name="Calculation 3 7 2" xfId="18311" xr:uid="{00000000-0005-0000-0000-0000E8420000}"/>
    <cellStyle name="Calculation 3 7 3" xfId="18310" xr:uid="{00000000-0005-0000-0000-0000E9420000}"/>
    <cellStyle name="Calculation 3 8" xfId="3189" xr:uid="{00000000-0005-0000-0000-0000EA420000}"/>
    <cellStyle name="Calculation 3 8 2" xfId="18313" xr:uid="{00000000-0005-0000-0000-0000EB420000}"/>
    <cellStyle name="Calculation 3 8 3" xfId="18312" xr:uid="{00000000-0005-0000-0000-0000EC420000}"/>
    <cellStyle name="Calculation 3 9" xfId="3564" xr:uid="{00000000-0005-0000-0000-0000ED420000}"/>
    <cellStyle name="Calculation 3 9 2" xfId="18315" xr:uid="{00000000-0005-0000-0000-0000EE420000}"/>
    <cellStyle name="Calculation 3 9 3" xfId="18314" xr:uid="{00000000-0005-0000-0000-0000EF420000}"/>
    <cellStyle name="Calculation 4" xfId="260" xr:uid="{00000000-0005-0000-0000-0000F0420000}"/>
    <cellStyle name="Calculation 4 10" xfId="3744" xr:uid="{00000000-0005-0000-0000-0000F1420000}"/>
    <cellStyle name="Calculation 4 10 2" xfId="18318" xr:uid="{00000000-0005-0000-0000-0000F2420000}"/>
    <cellStyle name="Calculation 4 10 3" xfId="18317" xr:uid="{00000000-0005-0000-0000-0000F3420000}"/>
    <cellStyle name="Calculation 4 11" xfId="1286" xr:uid="{00000000-0005-0000-0000-0000F4420000}"/>
    <cellStyle name="Calculation 4 11 2" xfId="18320" xr:uid="{00000000-0005-0000-0000-0000F5420000}"/>
    <cellStyle name="Calculation 4 11 3" xfId="18319" xr:uid="{00000000-0005-0000-0000-0000F6420000}"/>
    <cellStyle name="Calculation 4 12" xfId="18321" xr:uid="{00000000-0005-0000-0000-0000F7420000}"/>
    <cellStyle name="Calculation 4 13" xfId="18316" xr:uid="{00000000-0005-0000-0000-0000F8420000}"/>
    <cellStyle name="Calculation 4 2" xfId="1518" xr:uid="{00000000-0005-0000-0000-0000F9420000}"/>
    <cellStyle name="Calculation 4 2 2" xfId="18323" xr:uid="{00000000-0005-0000-0000-0000FA420000}"/>
    <cellStyle name="Calculation 4 2 3" xfId="18322" xr:uid="{00000000-0005-0000-0000-0000FB420000}"/>
    <cellStyle name="Calculation 4 3" xfId="1643" xr:uid="{00000000-0005-0000-0000-0000FC420000}"/>
    <cellStyle name="Calculation 4 3 2" xfId="18325" xr:uid="{00000000-0005-0000-0000-0000FD420000}"/>
    <cellStyle name="Calculation 4 3 3" xfId="18324" xr:uid="{00000000-0005-0000-0000-0000FE420000}"/>
    <cellStyle name="Calculation 4 4" xfId="1784" xr:uid="{00000000-0005-0000-0000-0000FF420000}"/>
    <cellStyle name="Calculation 4 4 2" xfId="18327" xr:uid="{00000000-0005-0000-0000-000000430000}"/>
    <cellStyle name="Calculation 4 4 3" xfId="18326" xr:uid="{00000000-0005-0000-0000-000001430000}"/>
    <cellStyle name="Calculation 4 5" xfId="2119" xr:uid="{00000000-0005-0000-0000-000002430000}"/>
    <cellStyle name="Calculation 4 5 2" xfId="18329" xr:uid="{00000000-0005-0000-0000-000003430000}"/>
    <cellStyle name="Calculation 4 5 3" xfId="18328" xr:uid="{00000000-0005-0000-0000-000004430000}"/>
    <cellStyle name="Calculation 4 6" xfId="2493" xr:uid="{00000000-0005-0000-0000-000005430000}"/>
    <cellStyle name="Calculation 4 6 2" xfId="18331" xr:uid="{00000000-0005-0000-0000-000006430000}"/>
    <cellStyle name="Calculation 4 6 3" xfId="18330" xr:uid="{00000000-0005-0000-0000-000007430000}"/>
    <cellStyle name="Calculation 4 7" xfId="2865" xr:uid="{00000000-0005-0000-0000-000008430000}"/>
    <cellStyle name="Calculation 4 7 2" xfId="18333" xr:uid="{00000000-0005-0000-0000-000009430000}"/>
    <cellStyle name="Calculation 4 7 3" xfId="18332" xr:uid="{00000000-0005-0000-0000-00000A430000}"/>
    <cellStyle name="Calculation 4 8" xfId="3236" xr:uid="{00000000-0005-0000-0000-00000B430000}"/>
    <cellStyle name="Calculation 4 8 2" xfId="18335" xr:uid="{00000000-0005-0000-0000-00000C430000}"/>
    <cellStyle name="Calculation 4 8 3" xfId="18334" xr:uid="{00000000-0005-0000-0000-00000D430000}"/>
    <cellStyle name="Calculation 4 9" xfId="3607" xr:uid="{00000000-0005-0000-0000-00000E430000}"/>
    <cellStyle name="Calculation 4 9 2" xfId="18337" xr:uid="{00000000-0005-0000-0000-00000F430000}"/>
    <cellStyle name="Calculation 4 9 3" xfId="18336" xr:uid="{00000000-0005-0000-0000-000010430000}"/>
    <cellStyle name="Calculation 5" xfId="459" xr:uid="{00000000-0005-0000-0000-000011430000}"/>
    <cellStyle name="Calculation 5 2" xfId="1870" xr:uid="{00000000-0005-0000-0000-000012430000}"/>
    <cellStyle name="Calculation 5 2 2" xfId="18340" xr:uid="{00000000-0005-0000-0000-000013430000}"/>
    <cellStyle name="Calculation 5 2 3" xfId="18339" xr:uid="{00000000-0005-0000-0000-000014430000}"/>
    <cellStyle name="Calculation 5 3" xfId="2245" xr:uid="{00000000-0005-0000-0000-000015430000}"/>
    <cellStyle name="Calculation 5 3 2" xfId="18342" xr:uid="{00000000-0005-0000-0000-000016430000}"/>
    <cellStyle name="Calculation 5 3 3" xfId="18341" xr:uid="{00000000-0005-0000-0000-000017430000}"/>
    <cellStyle name="Calculation 5 4" xfId="2619" xr:uid="{00000000-0005-0000-0000-000018430000}"/>
    <cellStyle name="Calculation 5 4 2" xfId="18344" xr:uid="{00000000-0005-0000-0000-000019430000}"/>
    <cellStyle name="Calculation 5 4 3" xfId="18343" xr:uid="{00000000-0005-0000-0000-00001A430000}"/>
    <cellStyle name="Calculation 5 5" xfId="2991" xr:uid="{00000000-0005-0000-0000-00001B430000}"/>
    <cellStyle name="Calculation 5 5 2" xfId="18346" xr:uid="{00000000-0005-0000-0000-00001C430000}"/>
    <cellStyle name="Calculation 5 5 3" xfId="18345" xr:uid="{00000000-0005-0000-0000-00001D430000}"/>
    <cellStyle name="Calculation 5 6" xfId="3363" xr:uid="{00000000-0005-0000-0000-00001E430000}"/>
    <cellStyle name="Calculation 5 6 2" xfId="18348" xr:uid="{00000000-0005-0000-0000-00001F430000}"/>
    <cellStyle name="Calculation 5 6 3" xfId="18347" xr:uid="{00000000-0005-0000-0000-000020430000}"/>
    <cellStyle name="Calculation 5 7" xfId="18349" xr:uid="{00000000-0005-0000-0000-000021430000}"/>
    <cellStyle name="Calculation 5 7 2" xfId="18350" xr:uid="{00000000-0005-0000-0000-000022430000}"/>
    <cellStyle name="Calculation 5 8" xfId="18351" xr:uid="{00000000-0005-0000-0000-000023430000}"/>
    <cellStyle name="Calculation 5 9" xfId="18338" xr:uid="{00000000-0005-0000-0000-000024430000}"/>
    <cellStyle name="Calculation 6" xfId="460" xr:uid="{00000000-0005-0000-0000-000025430000}"/>
    <cellStyle name="Calculation 6 10" xfId="18352" xr:uid="{00000000-0005-0000-0000-000026430000}"/>
    <cellStyle name="Calculation 6 2" xfId="1994" xr:uid="{00000000-0005-0000-0000-000027430000}"/>
    <cellStyle name="Calculation 6 2 2" xfId="18354" xr:uid="{00000000-0005-0000-0000-000028430000}"/>
    <cellStyle name="Calculation 6 2 3" xfId="18353" xr:uid="{00000000-0005-0000-0000-000029430000}"/>
    <cellStyle name="Calculation 6 3" xfId="2369" xr:uid="{00000000-0005-0000-0000-00002A430000}"/>
    <cellStyle name="Calculation 6 3 2" xfId="18356" xr:uid="{00000000-0005-0000-0000-00002B430000}"/>
    <cellStyle name="Calculation 6 3 3" xfId="18355" xr:uid="{00000000-0005-0000-0000-00002C430000}"/>
    <cellStyle name="Calculation 6 4" xfId="2742" xr:uid="{00000000-0005-0000-0000-00002D430000}"/>
    <cellStyle name="Calculation 6 4 2" xfId="18358" xr:uid="{00000000-0005-0000-0000-00002E430000}"/>
    <cellStyle name="Calculation 6 4 3" xfId="18357" xr:uid="{00000000-0005-0000-0000-00002F430000}"/>
    <cellStyle name="Calculation 6 5" xfId="3115" xr:uid="{00000000-0005-0000-0000-000030430000}"/>
    <cellStyle name="Calculation 6 5 2" xfId="18360" xr:uid="{00000000-0005-0000-0000-000031430000}"/>
    <cellStyle name="Calculation 6 5 3" xfId="18359" xr:uid="{00000000-0005-0000-0000-000032430000}"/>
    <cellStyle name="Calculation 6 6" xfId="3486" xr:uid="{00000000-0005-0000-0000-000033430000}"/>
    <cellStyle name="Calculation 6 6 2" xfId="18362" xr:uid="{00000000-0005-0000-0000-000034430000}"/>
    <cellStyle name="Calculation 6 6 3" xfId="18361" xr:uid="{00000000-0005-0000-0000-000035430000}"/>
    <cellStyle name="Calculation 6 7" xfId="3792" xr:uid="{00000000-0005-0000-0000-000036430000}"/>
    <cellStyle name="Calculation 6 7 2" xfId="18364" xr:uid="{00000000-0005-0000-0000-000037430000}"/>
    <cellStyle name="Calculation 6 7 3" xfId="18363" xr:uid="{00000000-0005-0000-0000-000038430000}"/>
    <cellStyle name="Calculation 6 8" xfId="18365" xr:uid="{00000000-0005-0000-0000-000039430000}"/>
    <cellStyle name="Calculation 6 8 2" xfId="18366" xr:uid="{00000000-0005-0000-0000-00003A430000}"/>
    <cellStyle name="Calculation 6 9" xfId="18367" xr:uid="{00000000-0005-0000-0000-00003B430000}"/>
    <cellStyle name="Calculation 7" xfId="461" xr:uid="{00000000-0005-0000-0000-00003C430000}"/>
    <cellStyle name="Calculation 7 2" xfId="18369" xr:uid="{00000000-0005-0000-0000-00003D430000}"/>
    <cellStyle name="Calculation 7 3" xfId="18368" xr:uid="{00000000-0005-0000-0000-00003E430000}"/>
    <cellStyle name="Calculation 8" xfId="595" xr:uid="{00000000-0005-0000-0000-00003F430000}"/>
    <cellStyle name="Calculation 8 2" xfId="18371" xr:uid="{00000000-0005-0000-0000-000040430000}"/>
    <cellStyle name="Calculation 8 3" xfId="18370" xr:uid="{00000000-0005-0000-0000-000041430000}"/>
    <cellStyle name="Calculation 9" xfId="596" xr:uid="{00000000-0005-0000-0000-000042430000}"/>
    <cellStyle name="Calculation 9 2" xfId="18373" xr:uid="{00000000-0005-0000-0000-000043430000}"/>
    <cellStyle name="Calculation 9 3" xfId="18372" xr:uid="{00000000-0005-0000-0000-000044430000}"/>
    <cellStyle name="Check Cell 10" xfId="744" xr:uid="{00000000-0005-0000-0000-000045430000}"/>
    <cellStyle name="Check Cell 10 2" xfId="18376" xr:uid="{00000000-0005-0000-0000-000046430000}"/>
    <cellStyle name="Check Cell 10 3" xfId="18375" xr:uid="{00000000-0005-0000-0000-000047430000}"/>
    <cellStyle name="Check Cell 11" xfId="745" xr:uid="{00000000-0005-0000-0000-000048430000}"/>
    <cellStyle name="Check Cell 11 2" xfId="18378" xr:uid="{00000000-0005-0000-0000-000049430000}"/>
    <cellStyle name="Check Cell 11 3" xfId="18377" xr:uid="{00000000-0005-0000-0000-00004A430000}"/>
    <cellStyle name="Check Cell 12" xfId="876" xr:uid="{00000000-0005-0000-0000-00004B430000}"/>
    <cellStyle name="Check Cell 12 2" xfId="18379" xr:uid="{00000000-0005-0000-0000-00004C430000}"/>
    <cellStyle name="Check Cell 13" xfId="877" xr:uid="{00000000-0005-0000-0000-00004D430000}"/>
    <cellStyle name="Check Cell 13 2" xfId="18374" xr:uid="{00000000-0005-0000-0000-00004E430000}"/>
    <cellStyle name="Check Cell 14" xfId="973" xr:uid="{00000000-0005-0000-0000-00004F430000}"/>
    <cellStyle name="Check Cell 2" xfId="94" xr:uid="{00000000-0005-0000-0000-000050430000}"/>
    <cellStyle name="Check Cell 2 10" xfId="1693" xr:uid="{00000000-0005-0000-0000-000051430000}"/>
    <cellStyle name="Check Cell 2 10 2" xfId="18382" xr:uid="{00000000-0005-0000-0000-000052430000}"/>
    <cellStyle name="Check Cell 2 10 3" xfId="18381" xr:uid="{00000000-0005-0000-0000-000053430000}"/>
    <cellStyle name="Check Cell 2 11" xfId="2028" xr:uid="{00000000-0005-0000-0000-000054430000}"/>
    <cellStyle name="Check Cell 2 11 2" xfId="18384" xr:uid="{00000000-0005-0000-0000-000055430000}"/>
    <cellStyle name="Check Cell 2 11 3" xfId="18383" xr:uid="{00000000-0005-0000-0000-000056430000}"/>
    <cellStyle name="Check Cell 2 12" xfId="2402" xr:uid="{00000000-0005-0000-0000-000057430000}"/>
    <cellStyle name="Check Cell 2 12 2" xfId="18386" xr:uid="{00000000-0005-0000-0000-000058430000}"/>
    <cellStyle name="Check Cell 2 12 3" xfId="18385" xr:uid="{00000000-0005-0000-0000-000059430000}"/>
    <cellStyle name="Check Cell 2 13" xfId="2775" xr:uid="{00000000-0005-0000-0000-00005A430000}"/>
    <cellStyle name="Check Cell 2 13 2" xfId="18388" xr:uid="{00000000-0005-0000-0000-00005B430000}"/>
    <cellStyle name="Check Cell 2 13 3" xfId="18387" xr:uid="{00000000-0005-0000-0000-00005C430000}"/>
    <cellStyle name="Check Cell 2 14" xfId="3149" xr:uid="{00000000-0005-0000-0000-00005D430000}"/>
    <cellStyle name="Check Cell 2 14 2" xfId="18390" xr:uid="{00000000-0005-0000-0000-00005E430000}"/>
    <cellStyle name="Check Cell 2 14 3" xfId="18389" xr:uid="{00000000-0005-0000-0000-00005F430000}"/>
    <cellStyle name="Check Cell 2 15" xfId="3520" xr:uid="{00000000-0005-0000-0000-000060430000}"/>
    <cellStyle name="Check Cell 2 15 2" xfId="18392" xr:uid="{00000000-0005-0000-0000-000061430000}"/>
    <cellStyle name="Check Cell 2 15 3" xfId="18391" xr:uid="{00000000-0005-0000-0000-000062430000}"/>
    <cellStyle name="Check Cell 2 16" xfId="3658" xr:uid="{00000000-0005-0000-0000-000063430000}"/>
    <cellStyle name="Check Cell 2 16 2" xfId="18394" xr:uid="{00000000-0005-0000-0000-000064430000}"/>
    <cellStyle name="Check Cell 2 16 3" xfId="18393" xr:uid="{00000000-0005-0000-0000-000065430000}"/>
    <cellStyle name="Check Cell 2 17" xfId="18395" xr:uid="{00000000-0005-0000-0000-000066430000}"/>
    <cellStyle name="Check Cell 2 17 2" xfId="18396" xr:uid="{00000000-0005-0000-0000-000067430000}"/>
    <cellStyle name="Check Cell 2 18" xfId="18397" xr:uid="{00000000-0005-0000-0000-000068430000}"/>
    <cellStyle name="Check Cell 2 19" xfId="18380" xr:uid="{00000000-0005-0000-0000-000069430000}"/>
    <cellStyle name="Check Cell 2 2" xfId="138" xr:uid="{00000000-0005-0000-0000-00006A430000}"/>
    <cellStyle name="Check Cell 2 2 2" xfId="165" xr:uid="{00000000-0005-0000-0000-00006B430000}"/>
    <cellStyle name="Check Cell 2 2 2 2" xfId="18400" xr:uid="{00000000-0005-0000-0000-00006C430000}"/>
    <cellStyle name="Check Cell 2 2 2 3" xfId="18399" xr:uid="{00000000-0005-0000-0000-00006D430000}"/>
    <cellStyle name="Check Cell 2 2 3" xfId="329" xr:uid="{00000000-0005-0000-0000-00006E430000}"/>
    <cellStyle name="Check Cell 2 2 3 2" xfId="18402" xr:uid="{00000000-0005-0000-0000-00006F430000}"/>
    <cellStyle name="Check Cell 2 2 3 3" xfId="18401" xr:uid="{00000000-0005-0000-0000-000070430000}"/>
    <cellStyle name="Check Cell 2 2 4" xfId="2152" xr:uid="{00000000-0005-0000-0000-000071430000}"/>
    <cellStyle name="Check Cell 2 2 4 2" xfId="18404" xr:uid="{00000000-0005-0000-0000-000072430000}"/>
    <cellStyle name="Check Cell 2 2 4 3" xfId="18403" xr:uid="{00000000-0005-0000-0000-000073430000}"/>
    <cellStyle name="Check Cell 2 2 5" xfId="2526" xr:uid="{00000000-0005-0000-0000-000074430000}"/>
    <cellStyle name="Check Cell 2 2 5 2" xfId="18406" xr:uid="{00000000-0005-0000-0000-000075430000}"/>
    <cellStyle name="Check Cell 2 2 5 3" xfId="18405" xr:uid="{00000000-0005-0000-0000-000076430000}"/>
    <cellStyle name="Check Cell 2 2 6" xfId="2898" xr:uid="{00000000-0005-0000-0000-000077430000}"/>
    <cellStyle name="Check Cell 2 2 6 2" xfId="18408" xr:uid="{00000000-0005-0000-0000-000078430000}"/>
    <cellStyle name="Check Cell 2 2 6 3" xfId="18407" xr:uid="{00000000-0005-0000-0000-000079430000}"/>
    <cellStyle name="Check Cell 2 2 7" xfId="3269" xr:uid="{00000000-0005-0000-0000-00007A430000}"/>
    <cellStyle name="Check Cell 2 2 7 2" xfId="18410" xr:uid="{00000000-0005-0000-0000-00007B430000}"/>
    <cellStyle name="Check Cell 2 2 7 3" xfId="18409" xr:uid="{00000000-0005-0000-0000-00007C430000}"/>
    <cellStyle name="Check Cell 2 2 8" xfId="18411" xr:uid="{00000000-0005-0000-0000-00007D430000}"/>
    <cellStyle name="Check Cell 2 2 9" xfId="18398" xr:uid="{00000000-0005-0000-0000-00007E430000}"/>
    <cellStyle name="Check Cell 2 20" xfId="20542" xr:uid="{00000000-0005-0000-0000-00007F430000}"/>
    <cellStyle name="Check Cell 2 3" xfId="303" xr:uid="{00000000-0005-0000-0000-000080430000}"/>
    <cellStyle name="Check Cell 2 3 2" xfId="1328" xr:uid="{00000000-0005-0000-0000-000081430000}"/>
    <cellStyle name="Check Cell 2 3 2 2" xfId="18413" xr:uid="{00000000-0005-0000-0000-000082430000}"/>
    <cellStyle name="Check Cell 2 3 3" xfId="18412" xr:uid="{00000000-0005-0000-0000-000083430000}"/>
    <cellStyle name="Check Cell 2 4" xfId="462" xr:uid="{00000000-0005-0000-0000-000084430000}"/>
    <cellStyle name="Check Cell 2 4 2" xfId="18415" xr:uid="{00000000-0005-0000-0000-000085430000}"/>
    <cellStyle name="Check Cell 2 4 3" xfId="18414" xr:uid="{00000000-0005-0000-0000-000086430000}"/>
    <cellStyle name="Check Cell 2 5" xfId="597" xr:uid="{00000000-0005-0000-0000-000087430000}"/>
    <cellStyle name="Check Cell 2 5 2" xfId="18417" xr:uid="{00000000-0005-0000-0000-000088430000}"/>
    <cellStyle name="Check Cell 2 5 3" xfId="18416" xr:uid="{00000000-0005-0000-0000-000089430000}"/>
    <cellStyle name="Check Cell 2 6" xfId="746" xr:uid="{00000000-0005-0000-0000-00008A430000}"/>
    <cellStyle name="Check Cell 2 6 2" xfId="18419" xr:uid="{00000000-0005-0000-0000-00008B430000}"/>
    <cellStyle name="Check Cell 2 6 3" xfId="18418" xr:uid="{00000000-0005-0000-0000-00008C430000}"/>
    <cellStyle name="Check Cell 2 7" xfId="747" xr:uid="{00000000-0005-0000-0000-00008D430000}"/>
    <cellStyle name="Check Cell 2 7 2" xfId="18421" xr:uid="{00000000-0005-0000-0000-00008E430000}"/>
    <cellStyle name="Check Cell 2 7 3" xfId="18420" xr:uid="{00000000-0005-0000-0000-00008F430000}"/>
    <cellStyle name="Check Cell 2 8" xfId="878" xr:uid="{00000000-0005-0000-0000-000090430000}"/>
    <cellStyle name="Check Cell 2 8 2" xfId="1422" xr:uid="{00000000-0005-0000-0000-000091430000}"/>
    <cellStyle name="Check Cell 2 8 2 2" xfId="18423" xr:uid="{00000000-0005-0000-0000-000092430000}"/>
    <cellStyle name="Check Cell 2 8 3" xfId="18422" xr:uid="{00000000-0005-0000-0000-000093430000}"/>
    <cellStyle name="Check Cell 2 9" xfId="974" xr:uid="{00000000-0005-0000-0000-000094430000}"/>
    <cellStyle name="Check Cell 2 9 2" xfId="1555" xr:uid="{00000000-0005-0000-0000-000095430000}"/>
    <cellStyle name="Check Cell 2 9 2 2" xfId="18425" xr:uid="{00000000-0005-0000-0000-000096430000}"/>
    <cellStyle name="Check Cell 2 9 3" xfId="18424" xr:uid="{00000000-0005-0000-0000-000097430000}"/>
    <cellStyle name="Check Cell 3" xfId="206" xr:uid="{00000000-0005-0000-0000-000098430000}"/>
    <cellStyle name="Check Cell 3 10" xfId="3701" xr:uid="{00000000-0005-0000-0000-000099430000}"/>
    <cellStyle name="Check Cell 3 10 2" xfId="18428" xr:uid="{00000000-0005-0000-0000-00009A430000}"/>
    <cellStyle name="Check Cell 3 10 3" xfId="18427" xr:uid="{00000000-0005-0000-0000-00009B430000}"/>
    <cellStyle name="Check Cell 3 11" xfId="18429" xr:uid="{00000000-0005-0000-0000-00009C430000}"/>
    <cellStyle name="Check Cell 3 11 2" xfId="18430" xr:uid="{00000000-0005-0000-0000-00009D430000}"/>
    <cellStyle name="Check Cell 3 12" xfId="18431" xr:uid="{00000000-0005-0000-0000-00009E430000}"/>
    <cellStyle name="Check Cell 3 13" xfId="18426" xr:uid="{00000000-0005-0000-0000-00009F430000}"/>
    <cellStyle name="Check Cell 3 2" xfId="1474" xr:uid="{00000000-0005-0000-0000-0000A0430000}"/>
    <cellStyle name="Check Cell 3 2 2" xfId="1817" xr:uid="{00000000-0005-0000-0000-0000A1430000}"/>
    <cellStyle name="Check Cell 3 2 2 2" xfId="18434" xr:uid="{00000000-0005-0000-0000-0000A2430000}"/>
    <cellStyle name="Check Cell 3 2 2 3" xfId="18433" xr:uid="{00000000-0005-0000-0000-0000A3430000}"/>
    <cellStyle name="Check Cell 3 2 3" xfId="2192" xr:uid="{00000000-0005-0000-0000-0000A4430000}"/>
    <cellStyle name="Check Cell 3 2 3 2" xfId="18436" xr:uid="{00000000-0005-0000-0000-0000A5430000}"/>
    <cellStyle name="Check Cell 3 2 3 3" xfId="18435" xr:uid="{00000000-0005-0000-0000-0000A6430000}"/>
    <cellStyle name="Check Cell 3 2 4" xfId="2566" xr:uid="{00000000-0005-0000-0000-0000A7430000}"/>
    <cellStyle name="Check Cell 3 2 4 2" xfId="18438" xr:uid="{00000000-0005-0000-0000-0000A8430000}"/>
    <cellStyle name="Check Cell 3 2 4 3" xfId="18437" xr:uid="{00000000-0005-0000-0000-0000A9430000}"/>
    <cellStyle name="Check Cell 3 2 5" xfId="2938" xr:uid="{00000000-0005-0000-0000-0000AA430000}"/>
    <cellStyle name="Check Cell 3 2 5 2" xfId="18440" xr:uid="{00000000-0005-0000-0000-0000AB430000}"/>
    <cellStyle name="Check Cell 3 2 5 3" xfId="18439" xr:uid="{00000000-0005-0000-0000-0000AC430000}"/>
    <cellStyle name="Check Cell 3 2 6" xfId="3310" xr:uid="{00000000-0005-0000-0000-0000AD430000}"/>
    <cellStyle name="Check Cell 3 2 6 2" xfId="18442" xr:uid="{00000000-0005-0000-0000-0000AE430000}"/>
    <cellStyle name="Check Cell 3 2 6 3" xfId="18441" xr:uid="{00000000-0005-0000-0000-0000AF430000}"/>
    <cellStyle name="Check Cell 3 2 7" xfId="18443" xr:uid="{00000000-0005-0000-0000-0000B0430000}"/>
    <cellStyle name="Check Cell 3 2 8" xfId="18432" xr:uid="{00000000-0005-0000-0000-0000B1430000}"/>
    <cellStyle name="Check Cell 3 3" xfId="1601" xr:uid="{00000000-0005-0000-0000-0000B2430000}"/>
    <cellStyle name="Check Cell 3 3 2" xfId="1894" xr:uid="{00000000-0005-0000-0000-0000B3430000}"/>
    <cellStyle name="Check Cell 3 3 2 2" xfId="18446" xr:uid="{00000000-0005-0000-0000-0000B4430000}"/>
    <cellStyle name="Check Cell 3 3 2 3" xfId="18445" xr:uid="{00000000-0005-0000-0000-0000B5430000}"/>
    <cellStyle name="Check Cell 3 3 3" xfId="2269" xr:uid="{00000000-0005-0000-0000-0000B6430000}"/>
    <cellStyle name="Check Cell 3 3 3 2" xfId="18448" xr:uid="{00000000-0005-0000-0000-0000B7430000}"/>
    <cellStyle name="Check Cell 3 3 3 3" xfId="18447" xr:uid="{00000000-0005-0000-0000-0000B8430000}"/>
    <cellStyle name="Check Cell 3 3 4" xfId="2642" xr:uid="{00000000-0005-0000-0000-0000B9430000}"/>
    <cellStyle name="Check Cell 3 3 4 2" xfId="18450" xr:uid="{00000000-0005-0000-0000-0000BA430000}"/>
    <cellStyle name="Check Cell 3 3 4 3" xfId="18449" xr:uid="{00000000-0005-0000-0000-0000BB430000}"/>
    <cellStyle name="Check Cell 3 3 5" xfId="3015" xr:uid="{00000000-0005-0000-0000-0000BC430000}"/>
    <cellStyle name="Check Cell 3 3 5 2" xfId="18452" xr:uid="{00000000-0005-0000-0000-0000BD430000}"/>
    <cellStyle name="Check Cell 3 3 5 3" xfId="18451" xr:uid="{00000000-0005-0000-0000-0000BE430000}"/>
    <cellStyle name="Check Cell 3 3 6" xfId="3386" xr:uid="{00000000-0005-0000-0000-0000BF430000}"/>
    <cellStyle name="Check Cell 3 3 6 2" xfId="18454" xr:uid="{00000000-0005-0000-0000-0000C0430000}"/>
    <cellStyle name="Check Cell 3 3 6 3" xfId="18453" xr:uid="{00000000-0005-0000-0000-0000C1430000}"/>
    <cellStyle name="Check Cell 3 3 7" xfId="18455" xr:uid="{00000000-0005-0000-0000-0000C2430000}"/>
    <cellStyle name="Check Cell 3 3 8" xfId="18444" xr:uid="{00000000-0005-0000-0000-0000C3430000}"/>
    <cellStyle name="Check Cell 3 4" xfId="1738" xr:uid="{00000000-0005-0000-0000-0000C4430000}"/>
    <cellStyle name="Check Cell 3 4 2" xfId="1938" xr:uid="{00000000-0005-0000-0000-0000C5430000}"/>
    <cellStyle name="Check Cell 3 4 2 2" xfId="18458" xr:uid="{00000000-0005-0000-0000-0000C6430000}"/>
    <cellStyle name="Check Cell 3 4 2 3" xfId="18457" xr:uid="{00000000-0005-0000-0000-0000C7430000}"/>
    <cellStyle name="Check Cell 3 4 3" xfId="2313" xr:uid="{00000000-0005-0000-0000-0000C8430000}"/>
    <cellStyle name="Check Cell 3 4 3 2" xfId="18460" xr:uid="{00000000-0005-0000-0000-0000C9430000}"/>
    <cellStyle name="Check Cell 3 4 3 3" xfId="18459" xr:uid="{00000000-0005-0000-0000-0000CA430000}"/>
    <cellStyle name="Check Cell 3 4 4" xfId="2686" xr:uid="{00000000-0005-0000-0000-0000CB430000}"/>
    <cellStyle name="Check Cell 3 4 4 2" xfId="18462" xr:uid="{00000000-0005-0000-0000-0000CC430000}"/>
    <cellStyle name="Check Cell 3 4 4 3" xfId="18461" xr:uid="{00000000-0005-0000-0000-0000CD430000}"/>
    <cellStyle name="Check Cell 3 4 5" xfId="3059" xr:uid="{00000000-0005-0000-0000-0000CE430000}"/>
    <cellStyle name="Check Cell 3 4 5 2" xfId="18464" xr:uid="{00000000-0005-0000-0000-0000CF430000}"/>
    <cellStyle name="Check Cell 3 4 5 3" xfId="18463" xr:uid="{00000000-0005-0000-0000-0000D0430000}"/>
    <cellStyle name="Check Cell 3 4 6" xfId="3430" xr:uid="{00000000-0005-0000-0000-0000D1430000}"/>
    <cellStyle name="Check Cell 3 4 6 2" xfId="18466" xr:uid="{00000000-0005-0000-0000-0000D2430000}"/>
    <cellStyle name="Check Cell 3 4 6 3" xfId="18465" xr:uid="{00000000-0005-0000-0000-0000D3430000}"/>
    <cellStyle name="Check Cell 3 4 7" xfId="18467" xr:uid="{00000000-0005-0000-0000-0000D4430000}"/>
    <cellStyle name="Check Cell 3 4 8" xfId="18456" xr:uid="{00000000-0005-0000-0000-0000D5430000}"/>
    <cellStyle name="Check Cell 3 5" xfId="2073" xr:uid="{00000000-0005-0000-0000-0000D6430000}"/>
    <cellStyle name="Check Cell 3 5 2" xfId="18469" xr:uid="{00000000-0005-0000-0000-0000D7430000}"/>
    <cellStyle name="Check Cell 3 5 3" xfId="18468" xr:uid="{00000000-0005-0000-0000-0000D8430000}"/>
    <cellStyle name="Check Cell 3 6" xfId="2447" xr:uid="{00000000-0005-0000-0000-0000D9430000}"/>
    <cellStyle name="Check Cell 3 6 2" xfId="18471" xr:uid="{00000000-0005-0000-0000-0000DA430000}"/>
    <cellStyle name="Check Cell 3 6 3" xfId="18470" xr:uid="{00000000-0005-0000-0000-0000DB430000}"/>
    <cellStyle name="Check Cell 3 7" xfId="2819" xr:uid="{00000000-0005-0000-0000-0000DC430000}"/>
    <cellStyle name="Check Cell 3 7 2" xfId="18473" xr:uid="{00000000-0005-0000-0000-0000DD430000}"/>
    <cellStyle name="Check Cell 3 7 3" xfId="18472" xr:uid="{00000000-0005-0000-0000-0000DE430000}"/>
    <cellStyle name="Check Cell 3 8" xfId="3190" xr:uid="{00000000-0005-0000-0000-0000DF430000}"/>
    <cellStyle name="Check Cell 3 8 2" xfId="18475" xr:uid="{00000000-0005-0000-0000-0000E0430000}"/>
    <cellStyle name="Check Cell 3 8 3" xfId="18474" xr:uid="{00000000-0005-0000-0000-0000E1430000}"/>
    <cellStyle name="Check Cell 3 9" xfId="3565" xr:uid="{00000000-0005-0000-0000-0000E2430000}"/>
    <cellStyle name="Check Cell 3 9 2" xfId="18477" xr:uid="{00000000-0005-0000-0000-0000E3430000}"/>
    <cellStyle name="Check Cell 3 9 3" xfId="18476" xr:uid="{00000000-0005-0000-0000-0000E4430000}"/>
    <cellStyle name="Check Cell 4" xfId="261" xr:uid="{00000000-0005-0000-0000-0000E5430000}"/>
    <cellStyle name="Check Cell 4 10" xfId="3745" xr:uid="{00000000-0005-0000-0000-0000E6430000}"/>
    <cellStyle name="Check Cell 4 10 2" xfId="18480" xr:uid="{00000000-0005-0000-0000-0000E7430000}"/>
    <cellStyle name="Check Cell 4 10 3" xfId="18479" xr:uid="{00000000-0005-0000-0000-0000E8430000}"/>
    <cellStyle name="Check Cell 4 11" xfId="1288" xr:uid="{00000000-0005-0000-0000-0000E9430000}"/>
    <cellStyle name="Check Cell 4 11 2" xfId="18482" xr:uid="{00000000-0005-0000-0000-0000EA430000}"/>
    <cellStyle name="Check Cell 4 11 3" xfId="18481" xr:uid="{00000000-0005-0000-0000-0000EB430000}"/>
    <cellStyle name="Check Cell 4 12" xfId="18483" xr:uid="{00000000-0005-0000-0000-0000EC430000}"/>
    <cellStyle name="Check Cell 4 13" xfId="18478" xr:uid="{00000000-0005-0000-0000-0000ED430000}"/>
    <cellStyle name="Check Cell 4 2" xfId="1519" xr:uid="{00000000-0005-0000-0000-0000EE430000}"/>
    <cellStyle name="Check Cell 4 2 2" xfId="18485" xr:uid="{00000000-0005-0000-0000-0000EF430000}"/>
    <cellStyle name="Check Cell 4 2 3" xfId="18484" xr:uid="{00000000-0005-0000-0000-0000F0430000}"/>
    <cellStyle name="Check Cell 4 3" xfId="1644" xr:uid="{00000000-0005-0000-0000-0000F1430000}"/>
    <cellStyle name="Check Cell 4 3 2" xfId="18487" xr:uid="{00000000-0005-0000-0000-0000F2430000}"/>
    <cellStyle name="Check Cell 4 3 3" xfId="18486" xr:uid="{00000000-0005-0000-0000-0000F3430000}"/>
    <cellStyle name="Check Cell 4 4" xfId="1783" xr:uid="{00000000-0005-0000-0000-0000F4430000}"/>
    <cellStyle name="Check Cell 4 4 2" xfId="18489" xr:uid="{00000000-0005-0000-0000-0000F5430000}"/>
    <cellStyle name="Check Cell 4 4 3" xfId="18488" xr:uid="{00000000-0005-0000-0000-0000F6430000}"/>
    <cellStyle name="Check Cell 4 5" xfId="2118" xr:uid="{00000000-0005-0000-0000-0000F7430000}"/>
    <cellStyle name="Check Cell 4 5 2" xfId="18491" xr:uid="{00000000-0005-0000-0000-0000F8430000}"/>
    <cellStyle name="Check Cell 4 5 3" xfId="18490" xr:uid="{00000000-0005-0000-0000-0000F9430000}"/>
    <cellStyle name="Check Cell 4 6" xfId="2492" xr:uid="{00000000-0005-0000-0000-0000FA430000}"/>
    <cellStyle name="Check Cell 4 6 2" xfId="18493" xr:uid="{00000000-0005-0000-0000-0000FB430000}"/>
    <cellStyle name="Check Cell 4 6 3" xfId="18492" xr:uid="{00000000-0005-0000-0000-0000FC430000}"/>
    <cellStyle name="Check Cell 4 7" xfId="2864" xr:uid="{00000000-0005-0000-0000-0000FD430000}"/>
    <cellStyle name="Check Cell 4 7 2" xfId="18495" xr:uid="{00000000-0005-0000-0000-0000FE430000}"/>
    <cellStyle name="Check Cell 4 7 3" xfId="18494" xr:uid="{00000000-0005-0000-0000-0000FF430000}"/>
    <cellStyle name="Check Cell 4 8" xfId="3235" xr:uid="{00000000-0005-0000-0000-000000440000}"/>
    <cellStyle name="Check Cell 4 8 2" xfId="18497" xr:uid="{00000000-0005-0000-0000-000001440000}"/>
    <cellStyle name="Check Cell 4 8 3" xfId="18496" xr:uid="{00000000-0005-0000-0000-000002440000}"/>
    <cellStyle name="Check Cell 4 9" xfId="3608" xr:uid="{00000000-0005-0000-0000-000003440000}"/>
    <cellStyle name="Check Cell 4 9 2" xfId="18499" xr:uid="{00000000-0005-0000-0000-000004440000}"/>
    <cellStyle name="Check Cell 4 9 3" xfId="18498" xr:uid="{00000000-0005-0000-0000-000005440000}"/>
    <cellStyle name="Check Cell 5" xfId="463" xr:uid="{00000000-0005-0000-0000-000006440000}"/>
    <cellStyle name="Check Cell 5 2" xfId="1853" xr:uid="{00000000-0005-0000-0000-000007440000}"/>
    <cellStyle name="Check Cell 5 2 2" xfId="18502" xr:uid="{00000000-0005-0000-0000-000008440000}"/>
    <cellStyle name="Check Cell 5 2 3" xfId="18501" xr:uid="{00000000-0005-0000-0000-000009440000}"/>
    <cellStyle name="Check Cell 5 3" xfId="2228" xr:uid="{00000000-0005-0000-0000-00000A440000}"/>
    <cellStyle name="Check Cell 5 3 2" xfId="18504" xr:uid="{00000000-0005-0000-0000-00000B440000}"/>
    <cellStyle name="Check Cell 5 3 3" xfId="18503" xr:uid="{00000000-0005-0000-0000-00000C440000}"/>
    <cellStyle name="Check Cell 5 4" xfId="2602" xr:uid="{00000000-0005-0000-0000-00000D440000}"/>
    <cellStyle name="Check Cell 5 4 2" xfId="18506" xr:uid="{00000000-0005-0000-0000-00000E440000}"/>
    <cellStyle name="Check Cell 5 4 3" xfId="18505" xr:uid="{00000000-0005-0000-0000-00000F440000}"/>
    <cellStyle name="Check Cell 5 5" xfId="2974" xr:uid="{00000000-0005-0000-0000-000010440000}"/>
    <cellStyle name="Check Cell 5 5 2" xfId="18508" xr:uid="{00000000-0005-0000-0000-000011440000}"/>
    <cellStyle name="Check Cell 5 5 3" xfId="18507" xr:uid="{00000000-0005-0000-0000-000012440000}"/>
    <cellStyle name="Check Cell 5 6" xfId="3346" xr:uid="{00000000-0005-0000-0000-000013440000}"/>
    <cellStyle name="Check Cell 5 6 2" xfId="18510" xr:uid="{00000000-0005-0000-0000-000014440000}"/>
    <cellStyle name="Check Cell 5 6 3" xfId="18509" xr:uid="{00000000-0005-0000-0000-000015440000}"/>
    <cellStyle name="Check Cell 5 7" xfId="18511" xr:uid="{00000000-0005-0000-0000-000016440000}"/>
    <cellStyle name="Check Cell 5 7 2" xfId="18512" xr:uid="{00000000-0005-0000-0000-000017440000}"/>
    <cellStyle name="Check Cell 5 8" xfId="18513" xr:uid="{00000000-0005-0000-0000-000018440000}"/>
    <cellStyle name="Check Cell 5 9" xfId="18500" xr:uid="{00000000-0005-0000-0000-000019440000}"/>
    <cellStyle name="Check Cell 6" xfId="464" xr:uid="{00000000-0005-0000-0000-00001A440000}"/>
    <cellStyle name="Check Cell 6 10" xfId="18514" xr:uid="{00000000-0005-0000-0000-00001B440000}"/>
    <cellStyle name="Check Cell 6 2" xfId="1995" xr:uid="{00000000-0005-0000-0000-00001C440000}"/>
    <cellStyle name="Check Cell 6 2 2" xfId="18516" xr:uid="{00000000-0005-0000-0000-00001D440000}"/>
    <cellStyle name="Check Cell 6 2 3" xfId="18515" xr:uid="{00000000-0005-0000-0000-00001E440000}"/>
    <cellStyle name="Check Cell 6 3" xfId="2370" xr:uid="{00000000-0005-0000-0000-00001F440000}"/>
    <cellStyle name="Check Cell 6 3 2" xfId="18518" xr:uid="{00000000-0005-0000-0000-000020440000}"/>
    <cellStyle name="Check Cell 6 3 3" xfId="18517" xr:uid="{00000000-0005-0000-0000-000021440000}"/>
    <cellStyle name="Check Cell 6 4" xfId="2743" xr:uid="{00000000-0005-0000-0000-000022440000}"/>
    <cellStyle name="Check Cell 6 4 2" xfId="18520" xr:uid="{00000000-0005-0000-0000-000023440000}"/>
    <cellStyle name="Check Cell 6 4 3" xfId="18519" xr:uid="{00000000-0005-0000-0000-000024440000}"/>
    <cellStyle name="Check Cell 6 5" xfId="3116" xr:uid="{00000000-0005-0000-0000-000025440000}"/>
    <cellStyle name="Check Cell 6 5 2" xfId="18522" xr:uid="{00000000-0005-0000-0000-000026440000}"/>
    <cellStyle name="Check Cell 6 5 3" xfId="18521" xr:uid="{00000000-0005-0000-0000-000027440000}"/>
    <cellStyle name="Check Cell 6 6" xfId="3487" xr:uid="{00000000-0005-0000-0000-000028440000}"/>
    <cellStyle name="Check Cell 6 6 2" xfId="18524" xr:uid="{00000000-0005-0000-0000-000029440000}"/>
    <cellStyle name="Check Cell 6 6 3" xfId="18523" xr:uid="{00000000-0005-0000-0000-00002A440000}"/>
    <cellStyle name="Check Cell 6 7" xfId="3793" xr:uid="{00000000-0005-0000-0000-00002B440000}"/>
    <cellStyle name="Check Cell 6 7 2" xfId="18526" xr:uid="{00000000-0005-0000-0000-00002C440000}"/>
    <cellStyle name="Check Cell 6 7 3" xfId="18525" xr:uid="{00000000-0005-0000-0000-00002D440000}"/>
    <cellStyle name="Check Cell 6 8" xfId="18527" xr:uid="{00000000-0005-0000-0000-00002E440000}"/>
    <cellStyle name="Check Cell 6 8 2" xfId="18528" xr:uid="{00000000-0005-0000-0000-00002F440000}"/>
    <cellStyle name="Check Cell 6 9" xfId="18529" xr:uid="{00000000-0005-0000-0000-000030440000}"/>
    <cellStyle name="Check Cell 7" xfId="465" xr:uid="{00000000-0005-0000-0000-000031440000}"/>
    <cellStyle name="Check Cell 7 2" xfId="18531" xr:uid="{00000000-0005-0000-0000-000032440000}"/>
    <cellStyle name="Check Cell 7 3" xfId="18530" xr:uid="{00000000-0005-0000-0000-000033440000}"/>
    <cellStyle name="Check Cell 8" xfId="598" xr:uid="{00000000-0005-0000-0000-000034440000}"/>
    <cellStyle name="Check Cell 8 2" xfId="18533" xr:uid="{00000000-0005-0000-0000-000035440000}"/>
    <cellStyle name="Check Cell 8 3" xfId="18532" xr:uid="{00000000-0005-0000-0000-000036440000}"/>
    <cellStyle name="Check Cell 9" xfId="599" xr:uid="{00000000-0005-0000-0000-000037440000}"/>
    <cellStyle name="Check Cell 9 2" xfId="18535" xr:uid="{00000000-0005-0000-0000-000038440000}"/>
    <cellStyle name="Check Cell 9 3" xfId="18534" xr:uid="{00000000-0005-0000-0000-000039440000}"/>
    <cellStyle name="Comma" xfId="1" builtinId="3"/>
    <cellStyle name="Comma [0] 2" xfId="24492" xr:uid="{00000000-0005-0000-0000-00003B440000}"/>
    <cellStyle name="Comma [0] 2 2" xfId="24508" xr:uid="{00000000-0005-0000-0000-00003C440000}"/>
    <cellStyle name="Comma [0] 2 2 2" xfId="24573" xr:uid="{00000000-0005-0000-0000-00003D440000}"/>
    <cellStyle name="Comma [0] 2 3" xfId="24574" xr:uid="{00000000-0005-0000-0000-00003E440000}"/>
    <cellStyle name="Comma [0] 2 4" xfId="24575" xr:uid="{00000000-0005-0000-0000-00003F440000}"/>
    <cellStyle name="Comma [0] 2 4 2" xfId="26757" xr:uid="{00000000-0005-0000-0000-000040440000}"/>
    <cellStyle name="Comma [0] 3" xfId="24509" xr:uid="{00000000-0005-0000-0000-000041440000}"/>
    <cellStyle name="Comma 10" xfId="31" xr:uid="{00000000-0005-0000-0000-000042440000}"/>
    <cellStyle name="Comma 10 10" xfId="4689" xr:uid="{00000000-0005-0000-0000-000043440000}"/>
    <cellStyle name="Comma 10 10 2" xfId="18538" xr:uid="{00000000-0005-0000-0000-000044440000}"/>
    <cellStyle name="Comma 10 10 3" xfId="18537" xr:uid="{00000000-0005-0000-0000-000045440000}"/>
    <cellStyle name="Comma 10 11" xfId="4690" xr:uid="{00000000-0005-0000-0000-000046440000}"/>
    <cellStyle name="Comma 10 11 2" xfId="18540" xr:uid="{00000000-0005-0000-0000-000047440000}"/>
    <cellStyle name="Comma 10 11 3" xfId="18539" xr:uid="{00000000-0005-0000-0000-000048440000}"/>
    <cellStyle name="Comma 10 12" xfId="4691" xr:uid="{00000000-0005-0000-0000-000049440000}"/>
    <cellStyle name="Comma 10 12 2" xfId="18542" xr:uid="{00000000-0005-0000-0000-00004A440000}"/>
    <cellStyle name="Comma 10 12 3" xfId="18541" xr:uid="{00000000-0005-0000-0000-00004B440000}"/>
    <cellStyle name="Comma 10 13" xfId="4692" xr:uid="{00000000-0005-0000-0000-00004C440000}"/>
    <cellStyle name="Comma 10 13 2" xfId="18544" xr:uid="{00000000-0005-0000-0000-00004D440000}"/>
    <cellStyle name="Comma 10 13 3" xfId="18543" xr:uid="{00000000-0005-0000-0000-00004E440000}"/>
    <cellStyle name="Comma 10 14" xfId="4693" xr:uid="{00000000-0005-0000-0000-00004F440000}"/>
    <cellStyle name="Comma 10 14 2" xfId="18546" xr:uid="{00000000-0005-0000-0000-000050440000}"/>
    <cellStyle name="Comma 10 14 3" xfId="18545" xr:uid="{00000000-0005-0000-0000-000051440000}"/>
    <cellStyle name="Comma 10 15" xfId="4694" xr:uid="{00000000-0005-0000-0000-000052440000}"/>
    <cellStyle name="Comma 10 15 2" xfId="18548" xr:uid="{00000000-0005-0000-0000-000053440000}"/>
    <cellStyle name="Comma 10 15 3" xfId="18547" xr:uid="{00000000-0005-0000-0000-000054440000}"/>
    <cellStyle name="Comma 10 16" xfId="4695" xr:uid="{00000000-0005-0000-0000-000055440000}"/>
    <cellStyle name="Comma 10 16 2" xfId="18550" xr:uid="{00000000-0005-0000-0000-000056440000}"/>
    <cellStyle name="Comma 10 16 3" xfId="18549" xr:uid="{00000000-0005-0000-0000-000057440000}"/>
    <cellStyle name="Comma 10 17" xfId="4696" xr:uid="{00000000-0005-0000-0000-000058440000}"/>
    <cellStyle name="Comma 10 17 2" xfId="18552" xr:uid="{00000000-0005-0000-0000-000059440000}"/>
    <cellStyle name="Comma 10 17 3" xfId="18551" xr:uid="{00000000-0005-0000-0000-00005A440000}"/>
    <cellStyle name="Comma 10 18" xfId="4697" xr:uid="{00000000-0005-0000-0000-00005B440000}"/>
    <cellStyle name="Comma 10 18 2" xfId="18554" xr:uid="{00000000-0005-0000-0000-00005C440000}"/>
    <cellStyle name="Comma 10 18 3" xfId="18553" xr:uid="{00000000-0005-0000-0000-00005D440000}"/>
    <cellStyle name="Comma 10 19" xfId="4698" xr:uid="{00000000-0005-0000-0000-00005E440000}"/>
    <cellStyle name="Comma 10 19 2" xfId="18556" xr:uid="{00000000-0005-0000-0000-00005F440000}"/>
    <cellStyle name="Comma 10 19 3" xfId="18555" xr:uid="{00000000-0005-0000-0000-000060440000}"/>
    <cellStyle name="Comma 10 2" xfId="3881" xr:uid="{00000000-0005-0000-0000-000061440000}"/>
    <cellStyle name="Comma 10 2 2" xfId="18558" xr:uid="{00000000-0005-0000-0000-000062440000}"/>
    <cellStyle name="Comma 10 2 2 2" xfId="24576" xr:uid="{00000000-0005-0000-0000-000063440000}"/>
    <cellStyle name="Comma 10 2 2 2 2" xfId="26758" xr:uid="{00000000-0005-0000-0000-000064440000}"/>
    <cellStyle name="Comma 10 2 3" xfId="18557" xr:uid="{00000000-0005-0000-0000-000065440000}"/>
    <cellStyle name="Comma 10 2 3 2" xfId="24577" xr:uid="{00000000-0005-0000-0000-000066440000}"/>
    <cellStyle name="Comma 10 2 3 2 2" xfId="26759" xr:uid="{00000000-0005-0000-0000-000067440000}"/>
    <cellStyle name="Comma 10 2 4" xfId="24578" xr:uid="{00000000-0005-0000-0000-000068440000}"/>
    <cellStyle name="Comma 10 2 4 2" xfId="26760" xr:uid="{00000000-0005-0000-0000-000069440000}"/>
    <cellStyle name="Comma 10 2 5" xfId="24579" xr:uid="{00000000-0005-0000-0000-00006A440000}"/>
    <cellStyle name="Comma 10 2 6" xfId="24580" xr:uid="{00000000-0005-0000-0000-00006B440000}"/>
    <cellStyle name="Comma 10 2 6 2" xfId="26761" xr:uid="{00000000-0005-0000-0000-00006C440000}"/>
    <cellStyle name="Comma 10 2 7" xfId="24511" xr:uid="{00000000-0005-0000-0000-00006D440000}"/>
    <cellStyle name="Comma 10 20" xfId="4699" xr:uid="{00000000-0005-0000-0000-00006E440000}"/>
    <cellStyle name="Comma 10 20 2" xfId="18560" xr:uid="{00000000-0005-0000-0000-00006F440000}"/>
    <cellStyle name="Comma 10 20 3" xfId="18559" xr:uid="{00000000-0005-0000-0000-000070440000}"/>
    <cellStyle name="Comma 10 21" xfId="4700" xr:uid="{00000000-0005-0000-0000-000071440000}"/>
    <cellStyle name="Comma 10 21 2" xfId="18562" xr:uid="{00000000-0005-0000-0000-000072440000}"/>
    <cellStyle name="Comma 10 21 3" xfId="18561" xr:uid="{00000000-0005-0000-0000-000073440000}"/>
    <cellStyle name="Comma 10 22" xfId="4701" xr:uid="{00000000-0005-0000-0000-000074440000}"/>
    <cellStyle name="Comma 10 22 2" xfId="18564" xr:uid="{00000000-0005-0000-0000-000075440000}"/>
    <cellStyle name="Comma 10 22 3" xfId="18563" xr:uid="{00000000-0005-0000-0000-000076440000}"/>
    <cellStyle name="Comma 10 23" xfId="4702" xr:uid="{00000000-0005-0000-0000-000077440000}"/>
    <cellStyle name="Comma 10 23 2" xfId="18566" xr:uid="{00000000-0005-0000-0000-000078440000}"/>
    <cellStyle name="Comma 10 23 3" xfId="18565" xr:uid="{00000000-0005-0000-0000-000079440000}"/>
    <cellStyle name="Comma 10 24" xfId="4703" xr:uid="{00000000-0005-0000-0000-00007A440000}"/>
    <cellStyle name="Comma 10 24 2" xfId="18568" xr:uid="{00000000-0005-0000-0000-00007B440000}"/>
    <cellStyle name="Comma 10 24 3" xfId="18567" xr:uid="{00000000-0005-0000-0000-00007C440000}"/>
    <cellStyle name="Comma 10 25" xfId="18569" xr:uid="{00000000-0005-0000-0000-00007D440000}"/>
    <cellStyle name="Comma 10 26" xfId="18536" xr:uid="{00000000-0005-0000-0000-00007E440000}"/>
    <cellStyle name="Comma 10 27" xfId="24510" xr:uid="{00000000-0005-0000-0000-00007F440000}"/>
    <cellStyle name="Comma 10 3" xfId="4704" xr:uid="{00000000-0005-0000-0000-000080440000}"/>
    <cellStyle name="Comma 10 3 2" xfId="18571" xr:uid="{00000000-0005-0000-0000-000081440000}"/>
    <cellStyle name="Comma 10 3 3" xfId="18570" xr:uid="{00000000-0005-0000-0000-000082440000}"/>
    <cellStyle name="Comma 10 3 4" xfId="24581" xr:uid="{00000000-0005-0000-0000-000083440000}"/>
    <cellStyle name="Comma 10 3 4 2" xfId="26762" xr:uid="{00000000-0005-0000-0000-000084440000}"/>
    <cellStyle name="Comma 10 4" xfId="4705" xr:uid="{00000000-0005-0000-0000-000085440000}"/>
    <cellStyle name="Comma 10 4 2" xfId="18573" xr:uid="{00000000-0005-0000-0000-000086440000}"/>
    <cellStyle name="Comma 10 4 3" xfId="18572" xr:uid="{00000000-0005-0000-0000-000087440000}"/>
    <cellStyle name="Comma 10 4 4" xfId="24582" xr:uid="{00000000-0005-0000-0000-000088440000}"/>
    <cellStyle name="Comma 10 4 4 2" xfId="26763" xr:uid="{00000000-0005-0000-0000-000089440000}"/>
    <cellStyle name="Comma 10 5" xfId="4706" xr:uid="{00000000-0005-0000-0000-00008A440000}"/>
    <cellStyle name="Comma 10 5 2" xfId="18575" xr:uid="{00000000-0005-0000-0000-00008B440000}"/>
    <cellStyle name="Comma 10 5 3" xfId="18574" xr:uid="{00000000-0005-0000-0000-00008C440000}"/>
    <cellStyle name="Comma 10 5 4" xfId="24583" xr:uid="{00000000-0005-0000-0000-00008D440000}"/>
    <cellStyle name="Comma 10 5 4 2" xfId="26764" xr:uid="{00000000-0005-0000-0000-00008E440000}"/>
    <cellStyle name="Comma 10 6" xfId="4707" xr:uid="{00000000-0005-0000-0000-00008F440000}"/>
    <cellStyle name="Comma 10 6 2" xfId="18577" xr:uid="{00000000-0005-0000-0000-000090440000}"/>
    <cellStyle name="Comma 10 6 3" xfId="18576" xr:uid="{00000000-0005-0000-0000-000091440000}"/>
    <cellStyle name="Comma 10 6 4" xfId="24584" xr:uid="{00000000-0005-0000-0000-000092440000}"/>
    <cellStyle name="Comma 10 7" xfId="4708" xr:uid="{00000000-0005-0000-0000-000093440000}"/>
    <cellStyle name="Comma 10 7 2" xfId="18579" xr:uid="{00000000-0005-0000-0000-000094440000}"/>
    <cellStyle name="Comma 10 7 3" xfId="18578" xr:uid="{00000000-0005-0000-0000-000095440000}"/>
    <cellStyle name="Comma 10 7 4" xfId="24585" xr:uid="{00000000-0005-0000-0000-000096440000}"/>
    <cellStyle name="Comma 10 7 4 2" xfId="26765" xr:uid="{00000000-0005-0000-0000-000097440000}"/>
    <cellStyle name="Comma 10 8" xfId="4709" xr:uid="{00000000-0005-0000-0000-000098440000}"/>
    <cellStyle name="Comma 10 8 2" xfId="18581" xr:uid="{00000000-0005-0000-0000-000099440000}"/>
    <cellStyle name="Comma 10 8 3" xfId="18580" xr:uid="{00000000-0005-0000-0000-00009A440000}"/>
    <cellStyle name="Comma 10 9" xfId="4710" xr:uid="{00000000-0005-0000-0000-00009B440000}"/>
    <cellStyle name="Comma 10 9 2" xfId="18583" xr:uid="{00000000-0005-0000-0000-00009C440000}"/>
    <cellStyle name="Comma 10 9 3" xfId="18582" xr:uid="{00000000-0005-0000-0000-00009D440000}"/>
    <cellStyle name="Comma 11" xfId="32" xr:uid="{00000000-0005-0000-0000-00009E440000}"/>
    <cellStyle name="Comma 11 10" xfId="4711" xr:uid="{00000000-0005-0000-0000-00009F440000}"/>
    <cellStyle name="Comma 11 10 2" xfId="18586" xr:uid="{00000000-0005-0000-0000-0000A0440000}"/>
    <cellStyle name="Comma 11 10 3" xfId="18585" xr:uid="{00000000-0005-0000-0000-0000A1440000}"/>
    <cellStyle name="Comma 11 11" xfId="4712" xr:uid="{00000000-0005-0000-0000-0000A2440000}"/>
    <cellStyle name="Comma 11 11 2" xfId="18588" xr:uid="{00000000-0005-0000-0000-0000A3440000}"/>
    <cellStyle name="Comma 11 11 3" xfId="18587" xr:uid="{00000000-0005-0000-0000-0000A4440000}"/>
    <cellStyle name="Comma 11 12" xfId="4713" xr:uid="{00000000-0005-0000-0000-0000A5440000}"/>
    <cellStyle name="Comma 11 12 2" xfId="18590" xr:uid="{00000000-0005-0000-0000-0000A6440000}"/>
    <cellStyle name="Comma 11 12 3" xfId="18589" xr:uid="{00000000-0005-0000-0000-0000A7440000}"/>
    <cellStyle name="Comma 11 13" xfId="4714" xr:uid="{00000000-0005-0000-0000-0000A8440000}"/>
    <cellStyle name="Comma 11 13 2" xfId="18592" xr:uid="{00000000-0005-0000-0000-0000A9440000}"/>
    <cellStyle name="Comma 11 13 3" xfId="18591" xr:uid="{00000000-0005-0000-0000-0000AA440000}"/>
    <cellStyle name="Comma 11 14" xfId="4715" xr:uid="{00000000-0005-0000-0000-0000AB440000}"/>
    <cellStyle name="Comma 11 14 2" xfId="18594" xr:uid="{00000000-0005-0000-0000-0000AC440000}"/>
    <cellStyle name="Comma 11 14 3" xfId="18593" xr:uid="{00000000-0005-0000-0000-0000AD440000}"/>
    <cellStyle name="Comma 11 15" xfId="4716" xr:uid="{00000000-0005-0000-0000-0000AE440000}"/>
    <cellStyle name="Comma 11 15 2" xfId="18596" xr:uid="{00000000-0005-0000-0000-0000AF440000}"/>
    <cellStyle name="Comma 11 15 3" xfId="18595" xr:uid="{00000000-0005-0000-0000-0000B0440000}"/>
    <cellStyle name="Comma 11 16" xfId="4717" xr:uid="{00000000-0005-0000-0000-0000B1440000}"/>
    <cellStyle name="Comma 11 16 2" xfId="18598" xr:uid="{00000000-0005-0000-0000-0000B2440000}"/>
    <cellStyle name="Comma 11 16 3" xfId="18597" xr:uid="{00000000-0005-0000-0000-0000B3440000}"/>
    <cellStyle name="Comma 11 17" xfId="4718" xr:uid="{00000000-0005-0000-0000-0000B4440000}"/>
    <cellStyle name="Comma 11 17 2" xfId="18600" xr:uid="{00000000-0005-0000-0000-0000B5440000}"/>
    <cellStyle name="Comma 11 17 3" xfId="18599" xr:uid="{00000000-0005-0000-0000-0000B6440000}"/>
    <cellStyle name="Comma 11 18" xfId="4719" xr:uid="{00000000-0005-0000-0000-0000B7440000}"/>
    <cellStyle name="Comma 11 18 2" xfId="18602" xr:uid="{00000000-0005-0000-0000-0000B8440000}"/>
    <cellStyle name="Comma 11 18 3" xfId="18601" xr:uid="{00000000-0005-0000-0000-0000B9440000}"/>
    <cellStyle name="Comma 11 19" xfId="4720" xr:uid="{00000000-0005-0000-0000-0000BA440000}"/>
    <cellStyle name="Comma 11 19 2" xfId="18604" xr:uid="{00000000-0005-0000-0000-0000BB440000}"/>
    <cellStyle name="Comma 11 19 3" xfId="18603" xr:uid="{00000000-0005-0000-0000-0000BC440000}"/>
    <cellStyle name="Comma 11 2" xfId="3913" xr:uid="{00000000-0005-0000-0000-0000BD440000}"/>
    <cellStyle name="Comma 11 2 2" xfId="18606" xr:uid="{00000000-0005-0000-0000-0000BE440000}"/>
    <cellStyle name="Comma 11 2 3" xfId="18605" xr:uid="{00000000-0005-0000-0000-0000BF440000}"/>
    <cellStyle name="Comma 11 2 4" xfId="24513" xr:uid="{00000000-0005-0000-0000-0000C0440000}"/>
    <cellStyle name="Comma 11 20" xfId="4721" xr:uid="{00000000-0005-0000-0000-0000C1440000}"/>
    <cellStyle name="Comma 11 20 2" xfId="18608" xr:uid="{00000000-0005-0000-0000-0000C2440000}"/>
    <cellStyle name="Comma 11 20 3" xfId="18607" xr:uid="{00000000-0005-0000-0000-0000C3440000}"/>
    <cellStyle name="Comma 11 21" xfId="4722" xr:uid="{00000000-0005-0000-0000-0000C4440000}"/>
    <cellStyle name="Comma 11 21 2" xfId="18610" xr:uid="{00000000-0005-0000-0000-0000C5440000}"/>
    <cellStyle name="Comma 11 21 3" xfId="18609" xr:uid="{00000000-0005-0000-0000-0000C6440000}"/>
    <cellStyle name="Comma 11 22" xfId="4723" xr:uid="{00000000-0005-0000-0000-0000C7440000}"/>
    <cellStyle name="Comma 11 22 2" xfId="18612" xr:uid="{00000000-0005-0000-0000-0000C8440000}"/>
    <cellStyle name="Comma 11 22 3" xfId="18611" xr:uid="{00000000-0005-0000-0000-0000C9440000}"/>
    <cellStyle name="Comma 11 23" xfId="4724" xr:uid="{00000000-0005-0000-0000-0000CA440000}"/>
    <cellStyle name="Comma 11 23 2" xfId="18614" xr:uid="{00000000-0005-0000-0000-0000CB440000}"/>
    <cellStyle name="Comma 11 23 3" xfId="18613" xr:uid="{00000000-0005-0000-0000-0000CC440000}"/>
    <cellStyle name="Comma 11 24" xfId="4725" xr:uid="{00000000-0005-0000-0000-0000CD440000}"/>
    <cellStyle name="Comma 11 24 2" xfId="18616" xr:uid="{00000000-0005-0000-0000-0000CE440000}"/>
    <cellStyle name="Comma 11 24 3" xfId="18615" xr:uid="{00000000-0005-0000-0000-0000CF440000}"/>
    <cellStyle name="Comma 11 25" xfId="18617" xr:uid="{00000000-0005-0000-0000-0000D0440000}"/>
    <cellStyle name="Comma 11 26" xfId="18584" xr:uid="{00000000-0005-0000-0000-0000D1440000}"/>
    <cellStyle name="Comma 11 27" xfId="24512" xr:uid="{00000000-0005-0000-0000-0000D2440000}"/>
    <cellStyle name="Comma 11 3" xfId="4726" xr:uid="{00000000-0005-0000-0000-0000D3440000}"/>
    <cellStyle name="Comma 11 3 2" xfId="18619" xr:uid="{00000000-0005-0000-0000-0000D4440000}"/>
    <cellStyle name="Comma 11 3 3" xfId="18618" xr:uid="{00000000-0005-0000-0000-0000D5440000}"/>
    <cellStyle name="Comma 11 3 4" xfId="24586" xr:uid="{00000000-0005-0000-0000-0000D6440000}"/>
    <cellStyle name="Comma 11 4" xfId="4727" xr:uid="{00000000-0005-0000-0000-0000D7440000}"/>
    <cellStyle name="Comma 11 4 2" xfId="18621" xr:uid="{00000000-0005-0000-0000-0000D8440000}"/>
    <cellStyle name="Comma 11 4 3" xfId="18620" xr:uid="{00000000-0005-0000-0000-0000D9440000}"/>
    <cellStyle name="Comma 11 4 4" xfId="24587" xr:uid="{00000000-0005-0000-0000-0000DA440000}"/>
    <cellStyle name="Comma 11 5" xfId="4728" xr:uid="{00000000-0005-0000-0000-0000DB440000}"/>
    <cellStyle name="Comma 11 5 2" xfId="18623" xr:uid="{00000000-0005-0000-0000-0000DC440000}"/>
    <cellStyle name="Comma 11 5 3" xfId="18622" xr:uid="{00000000-0005-0000-0000-0000DD440000}"/>
    <cellStyle name="Comma 11 6" xfId="4729" xr:uid="{00000000-0005-0000-0000-0000DE440000}"/>
    <cellStyle name="Comma 11 6 2" xfId="18625" xr:uid="{00000000-0005-0000-0000-0000DF440000}"/>
    <cellStyle name="Comma 11 6 3" xfId="18624" xr:uid="{00000000-0005-0000-0000-0000E0440000}"/>
    <cellStyle name="Comma 11 7" xfId="4730" xr:uid="{00000000-0005-0000-0000-0000E1440000}"/>
    <cellStyle name="Comma 11 7 2" xfId="18627" xr:uid="{00000000-0005-0000-0000-0000E2440000}"/>
    <cellStyle name="Comma 11 7 3" xfId="18626" xr:uid="{00000000-0005-0000-0000-0000E3440000}"/>
    <cellStyle name="Comma 11 8" xfId="4731" xr:uid="{00000000-0005-0000-0000-0000E4440000}"/>
    <cellStyle name="Comma 11 8 2" xfId="18629" xr:uid="{00000000-0005-0000-0000-0000E5440000}"/>
    <cellStyle name="Comma 11 8 3" xfId="18628" xr:uid="{00000000-0005-0000-0000-0000E6440000}"/>
    <cellStyle name="Comma 11 9" xfId="4732" xr:uid="{00000000-0005-0000-0000-0000E7440000}"/>
    <cellStyle name="Comma 11 9 2" xfId="18631" xr:uid="{00000000-0005-0000-0000-0000E8440000}"/>
    <cellStyle name="Comma 11 9 3" xfId="18630" xr:uid="{00000000-0005-0000-0000-0000E9440000}"/>
    <cellStyle name="Comma 12" xfId="33" xr:uid="{00000000-0005-0000-0000-0000EA440000}"/>
    <cellStyle name="Comma 12 2" xfId="3883" xr:uid="{00000000-0005-0000-0000-0000EB440000}"/>
    <cellStyle name="Comma 12 2 2" xfId="18634" xr:uid="{00000000-0005-0000-0000-0000EC440000}"/>
    <cellStyle name="Comma 12 2 2 2" xfId="24589" xr:uid="{00000000-0005-0000-0000-0000ED440000}"/>
    <cellStyle name="Comma 12 2 2 2 2" xfId="26766" xr:uid="{00000000-0005-0000-0000-0000EE440000}"/>
    <cellStyle name="Comma 12 2 3" xfId="18633" xr:uid="{00000000-0005-0000-0000-0000EF440000}"/>
    <cellStyle name="Comma 12 2 3 2" xfId="24590" xr:uid="{00000000-0005-0000-0000-0000F0440000}"/>
    <cellStyle name="Comma 12 2 3 2 2" xfId="26767" xr:uid="{00000000-0005-0000-0000-0000F1440000}"/>
    <cellStyle name="Comma 12 2 4" xfId="24591" xr:uid="{00000000-0005-0000-0000-0000F2440000}"/>
    <cellStyle name="Comma 12 2 4 2" xfId="26768" xr:uid="{00000000-0005-0000-0000-0000F3440000}"/>
    <cellStyle name="Comma 12 2 5" xfId="24588" xr:uid="{00000000-0005-0000-0000-0000F4440000}"/>
    <cellStyle name="Comma 12 2 5 2" xfId="26769" xr:uid="{00000000-0005-0000-0000-0000F5440000}"/>
    <cellStyle name="Comma 12 3" xfId="18635" xr:uid="{00000000-0005-0000-0000-0000F6440000}"/>
    <cellStyle name="Comma 12 3 2" xfId="24592" xr:uid="{00000000-0005-0000-0000-0000F7440000}"/>
    <cellStyle name="Comma 12 3 2 2" xfId="26770" xr:uid="{00000000-0005-0000-0000-0000F8440000}"/>
    <cellStyle name="Comma 12 4" xfId="18632" xr:uid="{00000000-0005-0000-0000-0000F9440000}"/>
    <cellStyle name="Comma 12 4 2" xfId="24593" xr:uid="{00000000-0005-0000-0000-0000FA440000}"/>
    <cellStyle name="Comma 12 4 2 2" xfId="26771" xr:uid="{00000000-0005-0000-0000-0000FB440000}"/>
    <cellStyle name="Comma 12 5" xfId="24594" xr:uid="{00000000-0005-0000-0000-0000FC440000}"/>
    <cellStyle name="Comma 12 5 2" xfId="26772" xr:uid="{00000000-0005-0000-0000-0000FD440000}"/>
    <cellStyle name="Comma 12 6" xfId="24595" xr:uid="{00000000-0005-0000-0000-0000FE440000}"/>
    <cellStyle name="Comma 12 7" xfId="24596" xr:uid="{00000000-0005-0000-0000-0000FF440000}"/>
    <cellStyle name="Comma 12 7 2" xfId="26773" xr:uid="{00000000-0005-0000-0000-000000450000}"/>
    <cellStyle name="Comma 12 8" xfId="24514" xr:uid="{00000000-0005-0000-0000-000001450000}"/>
    <cellStyle name="Comma 13" xfId="34" xr:uid="{00000000-0005-0000-0000-000002450000}"/>
    <cellStyle name="Comma 13 2" xfId="3915" xr:uid="{00000000-0005-0000-0000-000003450000}"/>
    <cellStyle name="Comma 13 2 2" xfId="18638" xr:uid="{00000000-0005-0000-0000-000004450000}"/>
    <cellStyle name="Comma 13 2 2 2" xfId="24598" xr:uid="{00000000-0005-0000-0000-000005450000}"/>
    <cellStyle name="Comma 13 2 2 2 2" xfId="26774" xr:uid="{00000000-0005-0000-0000-000006450000}"/>
    <cellStyle name="Comma 13 2 3" xfId="18637" xr:uid="{00000000-0005-0000-0000-000007450000}"/>
    <cellStyle name="Comma 13 2 3 2" xfId="24599" xr:uid="{00000000-0005-0000-0000-000008450000}"/>
    <cellStyle name="Comma 13 2 3 2 2" xfId="26775" xr:uid="{00000000-0005-0000-0000-000009450000}"/>
    <cellStyle name="Comma 13 2 4" xfId="24600" xr:uid="{00000000-0005-0000-0000-00000A450000}"/>
    <cellStyle name="Comma 13 2 4 2" xfId="26776" xr:uid="{00000000-0005-0000-0000-00000B450000}"/>
    <cellStyle name="Comma 13 2 5" xfId="24597" xr:uid="{00000000-0005-0000-0000-00000C450000}"/>
    <cellStyle name="Comma 13 2 5 2" xfId="26777" xr:uid="{00000000-0005-0000-0000-00000D450000}"/>
    <cellStyle name="Comma 13 3" xfId="18639" xr:uid="{00000000-0005-0000-0000-00000E450000}"/>
    <cellStyle name="Comma 13 3 2" xfId="24601" xr:uid="{00000000-0005-0000-0000-00000F450000}"/>
    <cellStyle name="Comma 13 3 2 2" xfId="26778" xr:uid="{00000000-0005-0000-0000-000010450000}"/>
    <cellStyle name="Comma 13 4" xfId="18636" xr:uid="{00000000-0005-0000-0000-000011450000}"/>
    <cellStyle name="Comma 13 4 2" xfId="24602" xr:uid="{00000000-0005-0000-0000-000012450000}"/>
    <cellStyle name="Comma 13 4 2 2" xfId="26779" xr:uid="{00000000-0005-0000-0000-000013450000}"/>
    <cellStyle name="Comma 13 5" xfId="24603" xr:uid="{00000000-0005-0000-0000-000014450000}"/>
    <cellStyle name="Comma 13 5 2" xfId="26780" xr:uid="{00000000-0005-0000-0000-000015450000}"/>
    <cellStyle name="Comma 13 6" xfId="24604" xr:uid="{00000000-0005-0000-0000-000016450000}"/>
    <cellStyle name="Comma 13 7" xfId="24605" xr:uid="{00000000-0005-0000-0000-000017450000}"/>
    <cellStyle name="Comma 13 7 2" xfId="26781" xr:uid="{00000000-0005-0000-0000-000018450000}"/>
    <cellStyle name="Comma 13 8" xfId="24515" xr:uid="{00000000-0005-0000-0000-000019450000}"/>
    <cellStyle name="Comma 14" xfId="35" xr:uid="{00000000-0005-0000-0000-00001A450000}"/>
    <cellStyle name="Comma 14 2" xfId="3885" xr:uid="{00000000-0005-0000-0000-00001B450000}"/>
    <cellStyle name="Comma 14 2 2" xfId="18641" xr:uid="{00000000-0005-0000-0000-00001C450000}"/>
    <cellStyle name="Comma 14 2 2 2" xfId="24607" xr:uid="{00000000-0005-0000-0000-00001D450000}"/>
    <cellStyle name="Comma 14 2 2 2 2" xfId="26782" xr:uid="{00000000-0005-0000-0000-00001E450000}"/>
    <cellStyle name="Comma 14 2 3" xfId="24608" xr:uid="{00000000-0005-0000-0000-00001F450000}"/>
    <cellStyle name="Comma 14 2 3 2" xfId="26783" xr:uid="{00000000-0005-0000-0000-000020450000}"/>
    <cellStyle name="Comma 14 2 4" xfId="24609" xr:uid="{00000000-0005-0000-0000-000021450000}"/>
    <cellStyle name="Comma 14 2 4 2" xfId="26784" xr:uid="{00000000-0005-0000-0000-000022450000}"/>
    <cellStyle name="Comma 14 2 5" xfId="24606" xr:uid="{00000000-0005-0000-0000-000023450000}"/>
    <cellStyle name="Comma 14 2 5 2" xfId="26785" xr:uid="{00000000-0005-0000-0000-000024450000}"/>
    <cellStyle name="Comma 14 3" xfId="1022" xr:uid="{00000000-0005-0000-0000-000025450000}"/>
    <cellStyle name="Comma 14 3 2" xfId="24610" xr:uid="{00000000-0005-0000-0000-000026450000}"/>
    <cellStyle name="Comma 14 3 2 2" xfId="26786" xr:uid="{00000000-0005-0000-0000-000027450000}"/>
    <cellStyle name="Comma 14 4" xfId="18640" xr:uid="{00000000-0005-0000-0000-000028450000}"/>
    <cellStyle name="Comma 14 4 2" xfId="24611" xr:uid="{00000000-0005-0000-0000-000029450000}"/>
    <cellStyle name="Comma 14 4 2 2" xfId="26787" xr:uid="{00000000-0005-0000-0000-00002A450000}"/>
    <cellStyle name="Comma 14 5" xfId="24612" xr:uid="{00000000-0005-0000-0000-00002B450000}"/>
    <cellStyle name="Comma 14 5 2" xfId="26788" xr:uid="{00000000-0005-0000-0000-00002C450000}"/>
    <cellStyle name="Comma 14 6" xfId="24613" xr:uid="{00000000-0005-0000-0000-00002D450000}"/>
    <cellStyle name="Comma 14 7" xfId="24614" xr:uid="{00000000-0005-0000-0000-00002E450000}"/>
    <cellStyle name="Comma 14 7 2" xfId="26789" xr:uid="{00000000-0005-0000-0000-00002F450000}"/>
    <cellStyle name="Comma 15" xfId="4733" xr:uid="{00000000-0005-0000-0000-000030450000}"/>
    <cellStyle name="Comma 15 2" xfId="24615" xr:uid="{00000000-0005-0000-0000-000031450000}"/>
    <cellStyle name="Comma 15 2 2" xfId="24616" xr:uid="{00000000-0005-0000-0000-000032450000}"/>
    <cellStyle name="Comma 15 2 2 2" xfId="26791" xr:uid="{00000000-0005-0000-0000-000033450000}"/>
    <cellStyle name="Comma 15 2 3" xfId="24617" xr:uid="{00000000-0005-0000-0000-000034450000}"/>
    <cellStyle name="Comma 15 2 3 2" xfId="26792" xr:uid="{00000000-0005-0000-0000-000035450000}"/>
    <cellStyle name="Comma 15 2 4" xfId="24618" xr:uid="{00000000-0005-0000-0000-000036450000}"/>
    <cellStyle name="Comma 15 2 4 2" xfId="26793" xr:uid="{00000000-0005-0000-0000-000037450000}"/>
    <cellStyle name="Comma 15 2 5" xfId="26790" xr:uid="{00000000-0005-0000-0000-000038450000}"/>
    <cellStyle name="Comma 15 3" xfId="24619" xr:uid="{00000000-0005-0000-0000-000039450000}"/>
    <cellStyle name="Comma 15 3 2" xfId="26794" xr:uid="{00000000-0005-0000-0000-00003A450000}"/>
    <cellStyle name="Comma 15 4" xfId="24620" xr:uid="{00000000-0005-0000-0000-00003B450000}"/>
    <cellStyle name="Comma 15 4 2" xfId="26795" xr:uid="{00000000-0005-0000-0000-00003C450000}"/>
    <cellStyle name="Comma 15 5" xfId="24621" xr:uid="{00000000-0005-0000-0000-00003D450000}"/>
    <cellStyle name="Comma 15 5 2" xfId="26796" xr:uid="{00000000-0005-0000-0000-00003E450000}"/>
    <cellStyle name="Comma 15 6" xfId="24622" xr:uid="{00000000-0005-0000-0000-00003F450000}"/>
    <cellStyle name="Comma 15 7" xfId="24623" xr:uid="{00000000-0005-0000-0000-000040450000}"/>
    <cellStyle name="Comma 15 7 2" xfId="26797" xr:uid="{00000000-0005-0000-0000-000041450000}"/>
    <cellStyle name="Comma 16" xfId="1024" xr:uid="{00000000-0005-0000-0000-000042450000}"/>
    <cellStyle name="Comma 16 2" xfId="3887" xr:uid="{00000000-0005-0000-0000-000043450000}"/>
    <cellStyle name="Comma 16 3" xfId="24569" xr:uid="{00000000-0005-0000-0000-000044450000}"/>
    <cellStyle name="Comma 17" xfId="7099" xr:uid="{00000000-0005-0000-0000-000045450000}"/>
    <cellStyle name="Comma 17 2" xfId="24624" xr:uid="{00000000-0005-0000-0000-000046450000}"/>
    <cellStyle name="Comma 17 2 2" xfId="24625" xr:uid="{00000000-0005-0000-0000-000047450000}"/>
    <cellStyle name="Comma 17 2 2 2" xfId="26800" xr:uid="{00000000-0005-0000-0000-000048450000}"/>
    <cellStyle name="Comma 17 2 3" xfId="24626" xr:uid="{00000000-0005-0000-0000-000049450000}"/>
    <cellStyle name="Comma 17 2 3 2" xfId="26801" xr:uid="{00000000-0005-0000-0000-00004A450000}"/>
    <cellStyle name="Comma 17 2 4" xfId="24627" xr:uid="{00000000-0005-0000-0000-00004B450000}"/>
    <cellStyle name="Comma 17 2 4 2" xfId="26802" xr:uid="{00000000-0005-0000-0000-00004C450000}"/>
    <cellStyle name="Comma 17 2 5" xfId="26799" xr:uid="{00000000-0005-0000-0000-00004D450000}"/>
    <cellStyle name="Comma 17 3" xfId="24628" xr:uid="{00000000-0005-0000-0000-00004E450000}"/>
    <cellStyle name="Comma 17 3 2" xfId="26803" xr:uid="{00000000-0005-0000-0000-00004F450000}"/>
    <cellStyle name="Comma 17 4" xfId="24629" xr:uid="{00000000-0005-0000-0000-000050450000}"/>
    <cellStyle name="Comma 17 4 2" xfId="26804" xr:uid="{00000000-0005-0000-0000-000051450000}"/>
    <cellStyle name="Comma 17 5" xfId="24630" xr:uid="{00000000-0005-0000-0000-000052450000}"/>
    <cellStyle name="Comma 17 5 2" xfId="26805" xr:uid="{00000000-0005-0000-0000-000053450000}"/>
    <cellStyle name="Comma 17 6" xfId="24631" xr:uid="{00000000-0005-0000-0000-000054450000}"/>
    <cellStyle name="Comma 17 7" xfId="24632" xr:uid="{00000000-0005-0000-0000-000055450000}"/>
    <cellStyle name="Comma 17 7 2" xfId="26806" xr:uid="{00000000-0005-0000-0000-000056450000}"/>
    <cellStyle name="Comma 17 8" xfId="24571" xr:uid="{00000000-0005-0000-0000-000057450000}"/>
    <cellStyle name="Comma 17 8 2" xfId="26807" xr:uid="{00000000-0005-0000-0000-000058450000}"/>
    <cellStyle name="Comma 17 9" xfId="26798" xr:uid="{00000000-0005-0000-0000-000059450000}"/>
    <cellStyle name="Comma 18" xfId="1026" xr:uid="{00000000-0005-0000-0000-00005A450000}"/>
    <cellStyle name="Comma 18 2" xfId="3889" xr:uid="{00000000-0005-0000-0000-00005B450000}"/>
    <cellStyle name="Comma 18 2 2" xfId="24635" xr:uid="{00000000-0005-0000-0000-00005C450000}"/>
    <cellStyle name="Comma 18 2 2 2" xfId="26808" xr:uid="{00000000-0005-0000-0000-00005D450000}"/>
    <cellStyle name="Comma 18 2 3" xfId="24636" xr:uid="{00000000-0005-0000-0000-00005E450000}"/>
    <cellStyle name="Comma 18 2 3 2" xfId="26809" xr:uid="{00000000-0005-0000-0000-00005F450000}"/>
    <cellStyle name="Comma 18 2 4" xfId="24637" xr:uid="{00000000-0005-0000-0000-000060450000}"/>
    <cellStyle name="Comma 18 2 4 2" xfId="26810" xr:uid="{00000000-0005-0000-0000-000061450000}"/>
    <cellStyle name="Comma 18 2 5" xfId="24634" xr:uid="{00000000-0005-0000-0000-000062450000}"/>
    <cellStyle name="Comma 18 2 5 2" xfId="26811" xr:uid="{00000000-0005-0000-0000-000063450000}"/>
    <cellStyle name="Comma 18 3" xfId="24638" xr:uid="{00000000-0005-0000-0000-000064450000}"/>
    <cellStyle name="Comma 18 3 2" xfId="26812" xr:uid="{00000000-0005-0000-0000-000065450000}"/>
    <cellStyle name="Comma 18 4" xfId="24639" xr:uid="{00000000-0005-0000-0000-000066450000}"/>
    <cellStyle name="Comma 18 4 2" xfId="26813" xr:uid="{00000000-0005-0000-0000-000067450000}"/>
    <cellStyle name="Comma 18 5" xfId="24640" xr:uid="{00000000-0005-0000-0000-000068450000}"/>
    <cellStyle name="Comma 18 5 2" xfId="26814" xr:uid="{00000000-0005-0000-0000-000069450000}"/>
    <cellStyle name="Comma 18 6" xfId="24641" xr:uid="{00000000-0005-0000-0000-00006A450000}"/>
    <cellStyle name="Comma 18 7" xfId="24642" xr:uid="{00000000-0005-0000-0000-00006B450000}"/>
    <cellStyle name="Comma 18 7 2" xfId="26815" xr:uid="{00000000-0005-0000-0000-00006C450000}"/>
    <cellStyle name="Comma 18 8" xfId="24633" xr:uid="{00000000-0005-0000-0000-00006D450000}"/>
    <cellStyle name="Comma 19" xfId="7114" xr:uid="{00000000-0005-0000-0000-00006E450000}"/>
    <cellStyle name="Comma 19 2" xfId="24643" xr:uid="{00000000-0005-0000-0000-00006F450000}"/>
    <cellStyle name="Comma 19 2 2" xfId="24644" xr:uid="{00000000-0005-0000-0000-000070450000}"/>
    <cellStyle name="Comma 19 2 2 2" xfId="26818" xr:uid="{00000000-0005-0000-0000-000071450000}"/>
    <cellStyle name="Comma 19 2 3" xfId="24645" xr:uid="{00000000-0005-0000-0000-000072450000}"/>
    <cellStyle name="Comma 19 2 3 2" xfId="26819" xr:uid="{00000000-0005-0000-0000-000073450000}"/>
    <cellStyle name="Comma 19 2 4" xfId="24646" xr:uid="{00000000-0005-0000-0000-000074450000}"/>
    <cellStyle name="Comma 19 2 4 2" xfId="26820" xr:uid="{00000000-0005-0000-0000-000075450000}"/>
    <cellStyle name="Comma 19 2 5" xfId="26817" xr:uid="{00000000-0005-0000-0000-000076450000}"/>
    <cellStyle name="Comma 19 3" xfId="24647" xr:uid="{00000000-0005-0000-0000-000077450000}"/>
    <cellStyle name="Comma 19 3 2" xfId="26821" xr:uid="{00000000-0005-0000-0000-000078450000}"/>
    <cellStyle name="Comma 19 4" xfId="24648" xr:uid="{00000000-0005-0000-0000-000079450000}"/>
    <cellStyle name="Comma 19 4 2" xfId="26822" xr:uid="{00000000-0005-0000-0000-00007A450000}"/>
    <cellStyle name="Comma 19 5" xfId="24649" xr:uid="{00000000-0005-0000-0000-00007B450000}"/>
    <cellStyle name="Comma 19 5 2" xfId="26823" xr:uid="{00000000-0005-0000-0000-00007C450000}"/>
    <cellStyle name="Comma 19 6" xfId="26816" xr:uid="{00000000-0005-0000-0000-00007D450000}"/>
    <cellStyle name="Comma 2" xfId="2" xr:uid="{00000000-0005-0000-0000-00007E450000}"/>
    <cellStyle name="Comma 2 10" xfId="1016" xr:uid="{00000000-0005-0000-0000-00007F450000}"/>
    <cellStyle name="Comma 2 10 2" xfId="3535" xr:uid="{00000000-0005-0000-0000-000080450000}"/>
    <cellStyle name="Comma 2 10 2 2" xfId="18643" xr:uid="{00000000-0005-0000-0000-000081450000}"/>
    <cellStyle name="Comma 2 10 3" xfId="3876" xr:uid="{00000000-0005-0000-0000-000082450000}"/>
    <cellStyle name="Comma 2 10 4" xfId="18642" xr:uid="{00000000-0005-0000-0000-000083450000}"/>
    <cellStyle name="Comma 2 11" xfId="1034" xr:uid="{00000000-0005-0000-0000-000084450000}"/>
    <cellStyle name="Comma 2 11 2" xfId="3671" xr:uid="{00000000-0005-0000-0000-000085450000}"/>
    <cellStyle name="Comma 2 11 2 2" xfId="18645" xr:uid="{00000000-0005-0000-0000-000086450000}"/>
    <cellStyle name="Comma 2 11 3" xfId="3899" xr:uid="{00000000-0005-0000-0000-000087450000}"/>
    <cellStyle name="Comma 2 11 4" xfId="18644" xr:uid="{00000000-0005-0000-0000-000088450000}"/>
    <cellStyle name="Comma 2 12" xfId="1040" xr:uid="{00000000-0005-0000-0000-000089450000}"/>
    <cellStyle name="Comma 2 12 2" xfId="3907" xr:uid="{00000000-0005-0000-0000-00008A450000}"/>
    <cellStyle name="Comma 2 12 2 2" xfId="18648" xr:uid="{00000000-0005-0000-0000-00008B450000}"/>
    <cellStyle name="Comma 2 12 2 3" xfId="18647" xr:uid="{00000000-0005-0000-0000-00008C450000}"/>
    <cellStyle name="Comma 2 12 3" xfId="18649" xr:uid="{00000000-0005-0000-0000-00008D450000}"/>
    <cellStyle name="Comma 2 12 4" xfId="18646" xr:uid="{00000000-0005-0000-0000-00008E450000}"/>
    <cellStyle name="Comma 2 13" xfId="1060" xr:uid="{00000000-0005-0000-0000-00008F450000}"/>
    <cellStyle name="Comma 2 13 2" xfId="3930" xr:uid="{00000000-0005-0000-0000-000090450000}"/>
    <cellStyle name="Comma 2 13 2 2" xfId="18651" xr:uid="{00000000-0005-0000-0000-000091450000}"/>
    <cellStyle name="Comma 2 13 3" xfId="18650" xr:uid="{00000000-0005-0000-0000-000092450000}"/>
    <cellStyle name="Comma 2 14" xfId="1070" xr:uid="{00000000-0005-0000-0000-000093450000}"/>
    <cellStyle name="Comma 2 14 2" xfId="3940" xr:uid="{00000000-0005-0000-0000-000094450000}"/>
    <cellStyle name="Comma 2 14 2 2" xfId="18653" xr:uid="{00000000-0005-0000-0000-000095450000}"/>
    <cellStyle name="Comma 2 14 3" xfId="18652" xr:uid="{00000000-0005-0000-0000-000096450000}"/>
    <cellStyle name="Comma 2 15" xfId="1080" xr:uid="{00000000-0005-0000-0000-000097450000}"/>
    <cellStyle name="Comma 2 15 2" xfId="3950" xr:uid="{00000000-0005-0000-0000-000098450000}"/>
    <cellStyle name="Comma 2 15 3" xfId="28692" xr:uid="{00000000-0005-0000-0000-000099450000}"/>
    <cellStyle name="Comma 2 16" xfId="1090" xr:uid="{00000000-0005-0000-0000-00009A450000}"/>
    <cellStyle name="Comma 2 16 2" xfId="3960" xr:uid="{00000000-0005-0000-0000-00009B450000}"/>
    <cellStyle name="Comma 2 17" xfId="1100" xr:uid="{00000000-0005-0000-0000-00009C450000}"/>
    <cellStyle name="Comma 2 17 2" xfId="3970" xr:uid="{00000000-0005-0000-0000-00009D450000}"/>
    <cellStyle name="Comma 2 18" xfId="1110" xr:uid="{00000000-0005-0000-0000-00009E450000}"/>
    <cellStyle name="Comma 2 18 2" xfId="3980" xr:uid="{00000000-0005-0000-0000-00009F450000}"/>
    <cellStyle name="Comma 2 19" xfId="1120" xr:uid="{00000000-0005-0000-0000-0000A0450000}"/>
    <cellStyle name="Comma 2 19 2" xfId="3990" xr:uid="{00000000-0005-0000-0000-0000A1450000}"/>
    <cellStyle name="Comma 2 2" xfId="36" xr:uid="{00000000-0005-0000-0000-0000A2450000}"/>
    <cellStyle name="Comma 2 2 10" xfId="4734" xr:uid="{00000000-0005-0000-0000-0000A3450000}"/>
    <cellStyle name="Comma 2 2 10 2" xfId="18656" xr:uid="{00000000-0005-0000-0000-0000A4450000}"/>
    <cellStyle name="Comma 2 2 10 3" xfId="18655" xr:uid="{00000000-0005-0000-0000-0000A5450000}"/>
    <cellStyle name="Comma 2 2 11" xfId="4735" xr:uid="{00000000-0005-0000-0000-0000A6450000}"/>
    <cellStyle name="Comma 2 2 11 2" xfId="18658" xr:uid="{00000000-0005-0000-0000-0000A7450000}"/>
    <cellStyle name="Comma 2 2 11 3" xfId="18657" xr:uid="{00000000-0005-0000-0000-0000A8450000}"/>
    <cellStyle name="Comma 2 2 12" xfId="4736" xr:uid="{00000000-0005-0000-0000-0000A9450000}"/>
    <cellStyle name="Comma 2 2 12 2" xfId="18660" xr:uid="{00000000-0005-0000-0000-0000AA450000}"/>
    <cellStyle name="Comma 2 2 12 3" xfId="18659" xr:uid="{00000000-0005-0000-0000-0000AB450000}"/>
    <cellStyle name="Comma 2 2 13" xfId="4737" xr:uid="{00000000-0005-0000-0000-0000AC450000}"/>
    <cellStyle name="Comma 2 2 13 2" xfId="18662" xr:uid="{00000000-0005-0000-0000-0000AD450000}"/>
    <cellStyle name="Comma 2 2 13 3" xfId="18661" xr:uid="{00000000-0005-0000-0000-0000AE450000}"/>
    <cellStyle name="Comma 2 2 14" xfId="4738" xr:uid="{00000000-0005-0000-0000-0000AF450000}"/>
    <cellStyle name="Comma 2 2 14 2" xfId="18664" xr:uid="{00000000-0005-0000-0000-0000B0450000}"/>
    <cellStyle name="Comma 2 2 14 3" xfId="18663" xr:uid="{00000000-0005-0000-0000-0000B1450000}"/>
    <cellStyle name="Comma 2 2 15" xfId="4739" xr:uid="{00000000-0005-0000-0000-0000B2450000}"/>
    <cellStyle name="Comma 2 2 15 2" xfId="18666" xr:uid="{00000000-0005-0000-0000-0000B3450000}"/>
    <cellStyle name="Comma 2 2 15 3" xfId="18665" xr:uid="{00000000-0005-0000-0000-0000B4450000}"/>
    <cellStyle name="Comma 2 2 16" xfId="4740" xr:uid="{00000000-0005-0000-0000-0000B5450000}"/>
    <cellStyle name="Comma 2 2 16 2" xfId="18668" xr:uid="{00000000-0005-0000-0000-0000B6450000}"/>
    <cellStyle name="Comma 2 2 16 3" xfId="18667" xr:uid="{00000000-0005-0000-0000-0000B7450000}"/>
    <cellStyle name="Comma 2 2 17" xfId="4741" xr:uid="{00000000-0005-0000-0000-0000B8450000}"/>
    <cellStyle name="Comma 2 2 17 2" xfId="18670" xr:uid="{00000000-0005-0000-0000-0000B9450000}"/>
    <cellStyle name="Comma 2 2 17 3" xfId="18669" xr:uid="{00000000-0005-0000-0000-0000BA450000}"/>
    <cellStyle name="Comma 2 2 18" xfId="4742" xr:uid="{00000000-0005-0000-0000-0000BB450000}"/>
    <cellStyle name="Comma 2 2 18 2" xfId="18672" xr:uid="{00000000-0005-0000-0000-0000BC450000}"/>
    <cellStyle name="Comma 2 2 18 3" xfId="18671" xr:uid="{00000000-0005-0000-0000-0000BD450000}"/>
    <cellStyle name="Comma 2 2 19" xfId="4743" xr:uid="{00000000-0005-0000-0000-0000BE450000}"/>
    <cellStyle name="Comma 2 2 19 2" xfId="18674" xr:uid="{00000000-0005-0000-0000-0000BF450000}"/>
    <cellStyle name="Comma 2 2 19 3" xfId="18673" xr:uid="{00000000-0005-0000-0000-0000C0450000}"/>
    <cellStyle name="Comma 2 2 2" xfId="111" xr:uid="{00000000-0005-0000-0000-0000C1450000}"/>
    <cellStyle name="Comma 2 2 2 2" xfId="4744" xr:uid="{00000000-0005-0000-0000-0000C2450000}"/>
    <cellStyle name="Comma 2 2 2 2 2" xfId="4745" xr:uid="{00000000-0005-0000-0000-0000C3450000}"/>
    <cellStyle name="Comma 2 2 2 2 2 2" xfId="18678" xr:uid="{00000000-0005-0000-0000-0000C4450000}"/>
    <cellStyle name="Comma 2 2 2 2 2 3" xfId="18677" xr:uid="{00000000-0005-0000-0000-0000C5450000}"/>
    <cellStyle name="Comma 2 2 2 2 3" xfId="4746" xr:uid="{00000000-0005-0000-0000-0000C6450000}"/>
    <cellStyle name="Comma 2 2 2 2 3 2" xfId="18680" xr:uid="{00000000-0005-0000-0000-0000C7450000}"/>
    <cellStyle name="Comma 2 2 2 2 3 3" xfId="18679" xr:uid="{00000000-0005-0000-0000-0000C8450000}"/>
    <cellStyle name="Comma 2 2 2 2 4" xfId="18681" xr:uid="{00000000-0005-0000-0000-0000C9450000}"/>
    <cellStyle name="Comma 2 2 2 2 5" xfId="18676" xr:uid="{00000000-0005-0000-0000-0000CA450000}"/>
    <cellStyle name="Comma 2 2 2 3" xfId="18682" xr:uid="{00000000-0005-0000-0000-0000CB450000}"/>
    <cellStyle name="Comma 2 2 2 4" xfId="18675" xr:uid="{00000000-0005-0000-0000-0000CC450000}"/>
    <cellStyle name="Comma 2 2 20" xfId="4747" xr:uid="{00000000-0005-0000-0000-0000CD450000}"/>
    <cellStyle name="Comma 2 2 20 2" xfId="18684" xr:uid="{00000000-0005-0000-0000-0000CE450000}"/>
    <cellStyle name="Comma 2 2 20 3" xfId="18683" xr:uid="{00000000-0005-0000-0000-0000CF450000}"/>
    <cellStyle name="Comma 2 2 21" xfId="4748" xr:uid="{00000000-0005-0000-0000-0000D0450000}"/>
    <cellStyle name="Comma 2 2 21 2" xfId="18686" xr:uid="{00000000-0005-0000-0000-0000D1450000}"/>
    <cellStyle name="Comma 2 2 21 3" xfId="18685" xr:uid="{00000000-0005-0000-0000-0000D2450000}"/>
    <cellStyle name="Comma 2 2 22" xfId="4749" xr:uid="{00000000-0005-0000-0000-0000D3450000}"/>
    <cellStyle name="Comma 2 2 22 2" xfId="18688" xr:uid="{00000000-0005-0000-0000-0000D4450000}"/>
    <cellStyle name="Comma 2 2 22 3" xfId="18687" xr:uid="{00000000-0005-0000-0000-0000D5450000}"/>
    <cellStyle name="Comma 2 2 23" xfId="4750" xr:uid="{00000000-0005-0000-0000-0000D6450000}"/>
    <cellStyle name="Comma 2 2 23 2" xfId="18690" xr:uid="{00000000-0005-0000-0000-0000D7450000}"/>
    <cellStyle name="Comma 2 2 23 3" xfId="18689" xr:uid="{00000000-0005-0000-0000-0000D8450000}"/>
    <cellStyle name="Comma 2 2 24" xfId="4751" xr:uid="{00000000-0005-0000-0000-0000D9450000}"/>
    <cellStyle name="Comma 2 2 24 2" xfId="18692" xr:uid="{00000000-0005-0000-0000-0000DA450000}"/>
    <cellStyle name="Comma 2 2 24 3" xfId="18691" xr:uid="{00000000-0005-0000-0000-0000DB450000}"/>
    <cellStyle name="Comma 2 2 25" xfId="18693" xr:uid="{00000000-0005-0000-0000-0000DC450000}"/>
    <cellStyle name="Comma 2 2 26" xfId="18654" xr:uid="{00000000-0005-0000-0000-0000DD450000}"/>
    <cellStyle name="Comma 2 2 3" xfId="4752" xr:uid="{00000000-0005-0000-0000-0000DE450000}"/>
    <cellStyle name="Comma 2 2 3 2" xfId="18695" xr:uid="{00000000-0005-0000-0000-0000DF450000}"/>
    <cellStyle name="Comma 2 2 3 3" xfId="18694" xr:uid="{00000000-0005-0000-0000-0000E0450000}"/>
    <cellStyle name="Comma 2 2 4" xfId="4753" xr:uid="{00000000-0005-0000-0000-0000E1450000}"/>
    <cellStyle name="Comma 2 2 4 2" xfId="18697" xr:uid="{00000000-0005-0000-0000-0000E2450000}"/>
    <cellStyle name="Comma 2 2 4 3" xfId="18696" xr:uid="{00000000-0005-0000-0000-0000E3450000}"/>
    <cellStyle name="Comma 2 2 5" xfId="4754" xr:uid="{00000000-0005-0000-0000-0000E4450000}"/>
    <cellStyle name="Comma 2 2 5 2" xfId="18699" xr:uid="{00000000-0005-0000-0000-0000E5450000}"/>
    <cellStyle name="Comma 2 2 5 3" xfId="18698" xr:uid="{00000000-0005-0000-0000-0000E6450000}"/>
    <cellStyle name="Comma 2 2 6" xfId="4755" xr:uid="{00000000-0005-0000-0000-0000E7450000}"/>
    <cellStyle name="Comma 2 2 6 2" xfId="18701" xr:uid="{00000000-0005-0000-0000-0000E8450000}"/>
    <cellStyle name="Comma 2 2 6 3" xfId="18700" xr:uid="{00000000-0005-0000-0000-0000E9450000}"/>
    <cellStyle name="Comma 2 2 7" xfId="4756" xr:uid="{00000000-0005-0000-0000-0000EA450000}"/>
    <cellStyle name="Comma 2 2 7 2" xfId="18703" xr:uid="{00000000-0005-0000-0000-0000EB450000}"/>
    <cellStyle name="Comma 2 2 7 3" xfId="18702" xr:uid="{00000000-0005-0000-0000-0000EC450000}"/>
    <cellStyle name="Comma 2 2 8" xfId="4757" xr:uid="{00000000-0005-0000-0000-0000ED450000}"/>
    <cellStyle name="Comma 2 2 8 2" xfId="18705" xr:uid="{00000000-0005-0000-0000-0000EE450000}"/>
    <cellStyle name="Comma 2 2 8 3" xfId="18704" xr:uid="{00000000-0005-0000-0000-0000EF450000}"/>
    <cellStyle name="Comma 2 2 9" xfId="4758" xr:uid="{00000000-0005-0000-0000-0000F0450000}"/>
    <cellStyle name="Comma 2 2 9 2" xfId="18707" xr:uid="{00000000-0005-0000-0000-0000F1450000}"/>
    <cellStyle name="Comma 2 2 9 3" xfId="18706" xr:uid="{00000000-0005-0000-0000-0000F2450000}"/>
    <cellStyle name="Comma 2 20" xfId="1130" xr:uid="{00000000-0005-0000-0000-0000F3450000}"/>
    <cellStyle name="Comma 2 20 2" xfId="4000" xr:uid="{00000000-0005-0000-0000-0000F4450000}"/>
    <cellStyle name="Comma 2 21" xfId="1140" xr:uid="{00000000-0005-0000-0000-0000F5450000}"/>
    <cellStyle name="Comma 2 21 2" xfId="4010" xr:uid="{00000000-0005-0000-0000-0000F6450000}"/>
    <cellStyle name="Comma 2 22" xfId="1150" xr:uid="{00000000-0005-0000-0000-0000F7450000}"/>
    <cellStyle name="Comma 2 22 2" xfId="4020" xr:uid="{00000000-0005-0000-0000-0000F8450000}"/>
    <cellStyle name="Comma 2 23" xfId="1158" xr:uid="{00000000-0005-0000-0000-0000F9450000}"/>
    <cellStyle name="Comma 2 23 2" xfId="4028" xr:uid="{00000000-0005-0000-0000-0000FA450000}"/>
    <cellStyle name="Comma 2 24" xfId="1170" xr:uid="{00000000-0005-0000-0000-0000FB450000}"/>
    <cellStyle name="Comma 2 24 2" xfId="4040" xr:uid="{00000000-0005-0000-0000-0000FC450000}"/>
    <cellStyle name="Comma 2 25" xfId="1180" xr:uid="{00000000-0005-0000-0000-0000FD450000}"/>
    <cellStyle name="Comma 2 25 2" xfId="4050" xr:uid="{00000000-0005-0000-0000-0000FE450000}"/>
    <cellStyle name="Comma 2 26" xfId="1190" xr:uid="{00000000-0005-0000-0000-0000FF450000}"/>
    <cellStyle name="Comma 2 26 2" xfId="4060" xr:uid="{00000000-0005-0000-0000-000000460000}"/>
    <cellStyle name="Comma 2 27" xfId="1200" xr:uid="{00000000-0005-0000-0000-000001460000}"/>
    <cellStyle name="Comma 2 27 2" xfId="4070" xr:uid="{00000000-0005-0000-0000-000002460000}"/>
    <cellStyle name="Comma 2 28" xfId="1210" xr:uid="{00000000-0005-0000-0000-000003460000}"/>
    <cellStyle name="Comma 2 28 2" xfId="4080" xr:uid="{00000000-0005-0000-0000-000004460000}"/>
    <cellStyle name="Comma 2 29" xfId="1220" xr:uid="{00000000-0005-0000-0000-000005460000}"/>
    <cellStyle name="Comma 2 29 2" xfId="4090" xr:uid="{00000000-0005-0000-0000-000006460000}"/>
    <cellStyle name="Comma 2 3" xfId="276" xr:uid="{00000000-0005-0000-0000-000007460000}"/>
    <cellStyle name="Comma 2 3 2" xfId="18709" xr:uid="{00000000-0005-0000-0000-000008460000}"/>
    <cellStyle name="Comma 2 3 2 2" xfId="24516" xr:uid="{00000000-0005-0000-0000-000009460000}"/>
    <cellStyle name="Comma 2 3 3" xfId="18708" xr:uid="{00000000-0005-0000-0000-00000A460000}"/>
    <cellStyle name="Comma 2 30" xfId="1230" xr:uid="{00000000-0005-0000-0000-00000B460000}"/>
    <cellStyle name="Comma 2 30 2" xfId="4100" xr:uid="{00000000-0005-0000-0000-00000C460000}"/>
    <cellStyle name="Comma 2 31" xfId="1240" xr:uid="{00000000-0005-0000-0000-00000D460000}"/>
    <cellStyle name="Comma 2 31 2" xfId="4110" xr:uid="{00000000-0005-0000-0000-00000E460000}"/>
    <cellStyle name="Comma 2 32" xfId="1250" xr:uid="{00000000-0005-0000-0000-00000F460000}"/>
    <cellStyle name="Comma 2 32 2" xfId="4120" xr:uid="{00000000-0005-0000-0000-000010460000}"/>
    <cellStyle name="Comma 2 33" xfId="1260" xr:uid="{00000000-0005-0000-0000-000011460000}"/>
    <cellStyle name="Comma 2 33 2" xfId="4130" xr:uid="{00000000-0005-0000-0000-000012460000}"/>
    <cellStyle name="Comma 2 34" xfId="1268" xr:uid="{00000000-0005-0000-0000-000013460000}"/>
    <cellStyle name="Comma 2 34 2" xfId="4138" xr:uid="{00000000-0005-0000-0000-000014460000}"/>
    <cellStyle name="Comma 2 35" xfId="95" xr:uid="{00000000-0005-0000-0000-000015460000}"/>
    <cellStyle name="Comma 2 4" xfId="1005" xr:uid="{00000000-0005-0000-0000-000016460000}"/>
    <cellStyle name="Comma 2 4 2" xfId="1538" xr:uid="{00000000-0005-0000-0000-000017460000}"/>
    <cellStyle name="Comma 2 4 2 2" xfId="18711" xr:uid="{00000000-0005-0000-0000-000018460000}"/>
    <cellStyle name="Comma 2 4 3" xfId="3864" xr:uid="{00000000-0005-0000-0000-000019460000}"/>
    <cellStyle name="Comma 2 4 3 2" xfId="24651" xr:uid="{00000000-0005-0000-0000-00001A460000}"/>
    <cellStyle name="Comma 2 4 3 2 2" xfId="26824" xr:uid="{00000000-0005-0000-0000-00001B460000}"/>
    <cellStyle name="Comma 2 4 4" xfId="18710" xr:uid="{00000000-0005-0000-0000-00001C460000}"/>
    <cellStyle name="Comma 2 5" xfId="1007" xr:uid="{00000000-0005-0000-0000-00001D460000}"/>
    <cellStyle name="Comma 2 5 2" xfId="1760" xr:uid="{00000000-0005-0000-0000-00001E460000}"/>
    <cellStyle name="Comma 2 5 2 2" xfId="18713" xr:uid="{00000000-0005-0000-0000-00001F460000}"/>
    <cellStyle name="Comma 2 5 3" xfId="3866" xr:uid="{00000000-0005-0000-0000-000020460000}"/>
    <cellStyle name="Comma 2 5 4" xfId="18712" xr:uid="{00000000-0005-0000-0000-000021460000}"/>
    <cellStyle name="Comma 2 6" xfId="1008" xr:uid="{00000000-0005-0000-0000-000022460000}"/>
    <cellStyle name="Comma 2 6 2" xfId="2095" xr:uid="{00000000-0005-0000-0000-000023460000}"/>
    <cellStyle name="Comma 2 6 2 2" xfId="18715" xr:uid="{00000000-0005-0000-0000-000024460000}"/>
    <cellStyle name="Comma 2 6 3" xfId="3868" xr:uid="{00000000-0005-0000-0000-000025460000}"/>
    <cellStyle name="Comma 2 6 4" xfId="18714" xr:uid="{00000000-0005-0000-0000-000026460000}"/>
    <cellStyle name="Comma 2 7" xfId="1010" xr:uid="{00000000-0005-0000-0000-000027460000}"/>
    <cellStyle name="Comma 2 7 2" xfId="2469" xr:uid="{00000000-0005-0000-0000-000028460000}"/>
    <cellStyle name="Comma 2 7 2 2" xfId="18717" xr:uid="{00000000-0005-0000-0000-000029460000}"/>
    <cellStyle name="Comma 2 7 3" xfId="3870" xr:uid="{00000000-0005-0000-0000-00002A460000}"/>
    <cellStyle name="Comma 2 7 4" xfId="18716" xr:uid="{00000000-0005-0000-0000-00002B460000}"/>
    <cellStyle name="Comma 2 8" xfId="1012" xr:uid="{00000000-0005-0000-0000-00002C460000}"/>
    <cellStyle name="Comma 2 8 2" xfId="2841" xr:uid="{00000000-0005-0000-0000-00002D460000}"/>
    <cellStyle name="Comma 2 8 2 2" xfId="18719" xr:uid="{00000000-0005-0000-0000-00002E460000}"/>
    <cellStyle name="Comma 2 8 3" xfId="3872" xr:uid="{00000000-0005-0000-0000-00002F460000}"/>
    <cellStyle name="Comma 2 8 4" xfId="18718" xr:uid="{00000000-0005-0000-0000-000030460000}"/>
    <cellStyle name="Comma 2 9" xfId="1014" xr:uid="{00000000-0005-0000-0000-000031460000}"/>
    <cellStyle name="Comma 2 9 2" xfId="3212" xr:uid="{00000000-0005-0000-0000-000032460000}"/>
    <cellStyle name="Comma 2 9 2 2" xfId="18721" xr:uid="{00000000-0005-0000-0000-000033460000}"/>
    <cellStyle name="Comma 2 9 3" xfId="3874" xr:uid="{00000000-0005-0000-0000-000034460000}"/>
    <cellStyle name="Comma 2 9 4" xfId="18720" xr:uid="{00000000-0005-0000-0000-000035460000}"/>
    <cellStyle name="Comma 20" xfId="1028" xr:uid="{00000000-0005-0000-0000-000036460000}"/>
    <cellStyle name="Comma 20 2" xfId="3891" xr:uid="{00000000-0005-0000-0000-000037460000}"/>
    <cellStyle name="Comma 20 2 2" xfId="24654" xr:uid="{00000000-0005-0000-0000-000038460000}"/>
    <cellStyle name="Comma 20 2 2 2" xfId="26825" xr:uid="{00000000-0005-0000-0000-000039460000}"/>
    <cellStyle name="Comma 20 2 3" xfId="24655" xr:uid="{00000000-0005-0000-0000-00003A460000}"/>
    <cellStyle name="Comma 20 2 3 2" xfId="26826" xr:uid="{00000000-0005-0000-0000-00003B460000}"/>
    <cellStyle name="Comma 20 2 4" xfId="24656" xr:uid="{00000000-0005-0000-0000-00003C460000}"/>
    <cellStyle name="Comma 20 2 4 2" xfId="26827" xr:uid="{00000000-0005-0000-0000-00003D460000}"/>
    <cellStyle name="Comma 20 2 5" xfId="24653" xr:uid="{00000000-0005-0000-0000-00003E460000}"/>
    <cellStyle name="Comma 20 2 5 2" xfId="26828" xr:uid="{00000000-0005-0000-0000-00003F460000}"/>
    <cellStyle name="Comma 20 3" xfId="24657" xr:uid="{00000000-0005-0000-0000-000040460000}"/>
    <cellStyle name="Comma 20 3 2" xfId="26829" xr:uid="{00000000-0005-0000-0000-000041460000}"/>
    <cellStyle name="Comma 20 4" xfId="24658" xr:uid="{00000000-0005-0000-0000-000042460000}"/>
    <cellStyle name="Comma 20 4 2" xfId="26830" xr:uid="{00000000-0005-0000-0000-000043460000}"/>
    <cellStyle name="Comma 20 5" xfId="24659" xr:uid="{00000000-0005-0000-0000-000044460000}"/>
    <cellStyle name="Comma 20 5 2" xfId="26831" xr:uid="{00000000-0005-0000-0000-000045460000}"/>
    <cellStyle name="Comma 20 6" xfId="24652" xr:uid="{00000000-0005-0000-0000-000046460000}"/>
    <cellStyle name="Comma 20 6 2" xfId="26832" xr:uid="{00000000-0005-0000-0000-000047460000}"/>
    <cellStyle name="Comma 21" xfId="24660" xr:uid="{00000000-0005-0000-0000-000048460000}"/>
    <cellStyle name="Comma 21 2" xfId="24661" xr:uid="{00000000-0005-0000-0000-000049460000}"/>
    <cellStyle name="Comma 21 2 2" xfId="24662" xr:uid="{00000000-0005-0000-0000-00004A460000}"/>
    <cellStyle name="Comma 21 2 2 2" xfId="26835" xr:uid="{00000000-0005-0000-0000-00004B460000}"/>
    <cellStyle name="Comma 21 2 3" xfId="24663" xr:uid="{00000000-0005-0000-0000-00004C460000}"/>
    <cellStyle name="Comma 21 2 3 2" xfId="26836" xr:uid="{00000000-0005-0000-0000-00004D460000}"/>
    <cellStyle name="Comma 21 2 4" xfId="24664" xr:uid="{00000000-0005-0000-0000-00004E460000}"/>
    <cellStyle name="Comma 21 2 4 2" xfId="26837" xr:uid="{00000000-0005-0000-0000-00004F460000}"/>
    <cellStyle name="Comma 21 2 5" xfId="26834" xr:uid="{00000000-0005-0000-0000-000050460000}"/>
    <cellStyle name="Comma 21 3" xfId="24665" xr:uid="{00000000-0005-0000-0000-000051460000}"/>
    <cellStyle name="Comma 21 3 2" xfId="26838" xr:uid="{00000000-0005-0000-0000-000052460000}"/>
    <cellStyle name="Comma 21 4" xfId="24666" xr:uid="{00000000-0005-0000-0000-000053460000}"/>
    <cellStyle name="Comma 21 4 2" xfId="26839" xr:uid="{00000000-0005-0000-0000-000054460000}"/>
    <cellStyle name="Comma 21 5" xfId="24667" xr:uid="{00000000-0005-0000-0000-000055460000}"/>
    <cellStyle name="Comma 21 5 2" xfId="26840" xr:uid="{00000000-0005-0000-0000-000056460000}"/>
    <cellStyle name="Comma 21 6" xfId="26833" xr:uid="{00000000-0005-0000-0000-000057460000}"/>
    <cellStyle name="Comma 22" xfId="1030" xr:uid="{00000000-0005-0000-0000-000058460000}"/>
    <cellStyle name="Comma 22 2" xfId="3893" xr:uid="{00000000-0005-0000-0000-000059460000}"/>
    <cellStyle name="Comma 22 2 2" xfId="24670" xr:uid="{00000000-0005-0000-0000-00005A460000}"/>
    <cellStyle name="Comma 22 2 2 2" xfId="26841" xr:uid="{00000000-0005-0000-0000-00005B460000}"/>
    <cellStyle name="Comma 22 2 3" xfId="24671" xr:uid="{00000000-0005-0000-0000-00005C460000}"/>
    <cellStyle name="Comma 22 2 3 2" xfId="26842" xr:uid="{00000000-0005-0000-0000-00005D460000}"/>
    <cellStyle name="Comma 22 2 4" xfId="24672" xr:uid="{00000000-0005-0000-0000-00005E460000}"/>
    <cellStyle name="Comma 22 2 4 2" xfId="26843" xr:uid="{00000000-0005-0000-0000-00005F460000}"/>
    <cellStyle name="Comma 22 2 5" xfId="24669" xr:uid="{00000000-0005-0000-0000-000060460000}"/>
    <cellStyle name="Comma 22 2 5 2" xfId="26844" xr:uid="{00000000-0005-0000-0000-000061460000}"/>
    <cellStyle name="Comma 22 3" xfId="24673" xr:uid="{00000000-0005-0000-0000-000062460000}"/>
    <cellStyle name="Comma 22 3 2" xfId="26845" xr:uid="{00000000-0005-0000-0000-000063460000}"/>
    <cellStyle name="Comma 22 4" xfId="24674" xr:uid="{00000000-0005-0000-0000-000064460000}"/>
    <cellStyle name="Comma 22 4 2" xfId="26846" xr:uid="{00000000-0005-0000-0000-000065460000}"/>
    <cellStyle name="Comma 22 5" xfId="24675" xr:uid="{00000000-0005-0000-0000-000066460000}"/>
    <cellStyle name="Comma 22 5 2" xfId="26847" xr:uid="{00000000-0005-0000-0000-000067460000}"/>
    <cellStyle name="Comma 22 6" xfId="24668" xr:uid="{00000000-0005-0000-0000-000068460000}"/>
    <cellStyle name="Comma 22 6 2" xfId="26848" xr:uid="{00000000-0005-0000-0000-000069460000}"/>
    <cellStyle name="Comma 23" xfId="37" xr:uid="{00000000-0005-0000-0000-00006A460000}"/>
    <cellStyle name="Comma 23 2" xfId="18723" xr:uid="{00000000-0005-0000-0000-00006B460000}"/>
    <cellStyle name="Comma 23 2 2" xfId="24678" xr:uid="{00000000-0005-0000-0000-00006C460000}"/>
    <cellStyle name="Comma 23 2 2 2" xfId="26849" xr:uid="{00000000-0005-0000-0000-00006D460000}"/>
    <cellStyle name="Comma 23 2 3" xfId="24679" xr:uid="{00000000-0005-0000-0000-00006E460000}"/>
    <cellStyle name="Comma 23 2 3 2" xfId="26850" xr:uid="{00000000-0005-0000-0000-00006F460000}"/>
    <cellStyle name="Comma 23 2 4" xfId="24680" xr:uid="{00000000-0005-0000-0000-000070460000}"/>
    <cellStyle name="Comma 23 2 4 2" xfId="26851" xr:uid="{00000000-0005-0000-0000-000071460000}"/>
    <cellStyle name="Comma 23 2 5" xfId="24677" xr:uid="{00000000-0005-0000-0000-000072460000}"/>
    <cellStyle name="Comma 23 2 5 2" xfId="26852" xr:uid="{00000000-0005-0000-0000-000073460000}"/>
    <cellStyle name="Comma 23 3" xfId="18722" xr:uid="{00000000-0005-0000-0000-000074460000}"/>
    <cellStyle name="Comma 23 3 2" xfId="24681" xr:uid="{00000000-0005-0000-0000-000075460000}"/>
    <cellStyle name="Comma 23 3 2 2" xfId="26853" xr:uid="{00000000-0005-0000-0000-000076460000}"/>
    <cellStyle name="Comma 23 4" xfId="24682" xr:uid="{00000000-0005-0000-0000-000077460000}"/>
    <cellStyle name="Comma 23 4 2" xfId="26854" xr:uid="{00000000-0005-0000-0000-000078460000}"/>
    <cellStyle name="Comma 23 5" xfId="24683" xr:uid="{00000000-0005-0000-0000-000079460000}"/>
    <cellStyle name="Comma 23 5 2" xfId="26855" xr:uid="{00000000-0005-0000-0000-00007A460000}"/>
    <cellStyle name="Comma 23 6" xfId="24676" xr:uid="{00000000-0005-0000-0000-00007B460000}"/>
    <cellStyle name="Comma 23 6 2" xfId="26856" xr:uid="{00000000-0005-0000-0000-00007C460000}"/>
    <cellStyle name="Comma 24" xfId="38" xr:uid="{00000000-0005-0000-0000-00007D460000}"/>
    <cellStyle name="Comma 24 2" xfId="3895" xr:uid="{00000000-0005-0000-0000-00007E460000}"/>
    <cellStyle name="Comma 24 2 2" xfId="18725" xr:uid="{00000000-0005-0000-0000-00007F460000}"/>
    <cellStyle name="Comma 24 3" xfId="18724" xr:uid="{00000000-0005-0000-0000-000080460000}"/>
    <cellStyle name="Comma 24 4" xfId="24684" xr:uid="{00000000-0005-0000-0000-000081460000}"/>
    <cellStyle name="Comma 25" xfId="39" xr:uid="{00000000-0005-0000-0000-000082460000}"/>
    <cellStyle name="Comma 25 2" xfId="18727" xr:uid="{00000000-0005-0000-0000-000083460000}"/>
    <cellStyle name="Comma 25 3" xfId="18726" xr:uid="{00000000-0005-0000-0000-000084460000}"/>
    <cellStyle name="Comma 25 4" xfId="24685" xr:uid="{00000000-0005-0000-0000-000085460000}"/>
    <cellStyle name="Comma 26" xfId="40" xr:uid="{00000000-0005-0000-0000-000086460000}"/>
    <cellStyle name="Comma 26 2" xfId="3897" xr:uid="{00000000-0005-0000-0000-000087460000}"/>
    <cellStyle name="Comma 26 2 2" xfId="18729" xr:uid="{00000000-0005-0000-0000-000088460000}"/>
    <cellStyle name="Comma 26 2 3" xfId="24687" xr:uid="{00000000-0005-0000-0000-000089460000}"/>
    <cellStyle name="Comma 26 2 3 2" xfId="26857" xr:uid="{00000000-0005-0000-0000-00008A460000}"/>
    <cellStyle name="Comma 26 3" xfId="18728" xr:uid="{00000000-0005-0000-0000-00008B460000}"/>
    <cellStyle name="Comma 26 3 2" xfId="24688" xr:uid="{00000000-0005-0000-0000-00008C460000}"/>
    <cellStyle name="Comma 26 3 2 2" xfId="26858" xr:uid="{00000000-0005-0000-0000-00008D460000}"/>
    <cellStyle name="Comma 26 4" xfId="24689" xr:uid="{00000000-0005-0000-0000-00008E460000}"/>
    <cellStyle name="Comma 26 4 2" xfId="26859" xr:uid="{00000000-0005-0000-0000-00008F460000}"/>
    <cellStyle name="Comma 26 5" xfId="24686" xr:uid="{00000000-0005-0000-0000-000090460000}"/>
    <cellStyle name="Comma 26 5 2" xfId="26860" xr:uid="{00000000-0005-0000-0000-000091460000}"/>
    <cellStyle name="Comma 27" xfId="41" xr:uid="{00000000-0005-0000-0000-000092460000}"/>
    <cellStyle name="Comma 27 2" xfId="18731" xr:uid="{00000000-0005-0000-0000-000093460000}"/>
    <cellStyle name="Comma 27 2 2" xfId="24691" xr:uid="{00000000-0005-0000-0000-000094460000}"/>
    <cellStyle name="Comma 27 2 2 2" xfId="26861" xr:uid="{00000000-0005-0000-0000-000095460000}"/>
    <cellStyle name="Comma 27 3" xfId="18730" xr:uid="{00000000-0005-0000-0000-000096460000}"/>
    <cellStyle name="Comma 27 3 2" xfId="24692" xr:uid="{00000000-0005-0000-0000-000097460000}"/>
    <cellStyle name="Comma 27 3 2 2" xfId="26862" xr:uid="{00000000-0005-0000-0000-000098460000}"/>
    <cellStyle name="Comma 27 4" xfId="24693" xr:uid="{00000000-0005-0000-0000-000099460000}"/>
    <cellStyle name="Comma 27 4 2" xfId="26863" xr:uid="{00000000-0005-0000-0000-00009A460000}"/>
    <cellStyle name="Comma 27 5" xfId="24690" xr:uid="{00000000-0005-0000-0000-00009B460000}"/>
    <cellStyle name="Comma 27 5 2" xfId="26864" xr:uid="{00000000-0005-0000-0000-00009C460000}"/>
    <cellStyle name="Comma 28" xfId="24694" xr:uid="{00000000-0005-0000-0000-00009D460000}"/>
    <cellStyle name="Comma 28 2" xfId="24695" xr:uid="{00000000-0005-0000-0000-00009E460000}"/>
    <cellStyle name="Comma 28 2 2" xfId="26866" xr:uid="{00000000-0005-0000-0000-00009F460000}"/>
    <cellStyle name="Comma 28 3" xfId="24696" xr:uid="{00000000-0005-0000-0000-0000A0460000}"/>
    <cellStyle name="Comma 28 3 2" xfId="26867" xr:uid="{00000000-0005-0000-0000-0000A1460000}"/>
    <cellStyle name="Comma 28 4" xfId="24697" xr:uid="{00000000-0005-0000-0000-0000A2460000}"/>
    <cellStyle name="Comma 28 4 2" xfId="26868" xr:uid="{00000000-0005-0000-0000-0000A3460000}"/>
    <cellStyle name="Comma 28 5" xfId="26865" xr:uid="{00000000-0005-0000-0000-0000A4460000}"/>
    <cellStyle name="Comma 29" xfId="18732" xr:uid="{00000000-0005-0000-0000-0000A5460000}"/>
    <cellStyle name="Comma 29 2" xfId="18733" xr:uid="{00000000-0005-0000-0000-0000A6460000}"/>
    <cellStyle name="Comma 29 2 2" xfId="18734" xr:uid="{00000000-0005-0000-0000-0000A7460000}"/>
    <cellStyle name="Comma 29 3" xfId="18735" xr:uid="{00000000-0005-0000-0000-0000A8460000}"/>
    <cellStyle name="Comma 29 4" xfId="24698" xr:uid="{00000000-0005-0000-0000-0000A9460000}"/>
    <cellStyle name="Comma 3" xfId="3" xr:uid="{00000000-0005-0000-0000-0000AA460000}"/>
    <cellStyle name="Comma 3 10" xfId="1114" xr:uid="{00000000-0005-0000-0000-0000AB460000}"/>
    <cellStyle name="Comma 3 10 2" xfId="3984" xr:uid="{00000000-0005-0000-0000-0000AC460000}"/>
    <cellStyle name="Comma 3 11" xfId="1124" xr:uid="{00000000-0005-0000-0000-0000AD460000}"/>
    <cellStyle name="Comma 3 11 2" xfId="3994" xr:uid="{00000000-0005-0000-0000-0000AE460000}"/>
    <cellStyle name="Comma 3 12" xfId="1134" xr:uid="{00000000-0005-0000-0000-0000AF460000}"/>
    <cellStyle name="Comma 3 12 2" xfId="4004" xr:uid="{00000000-0005-0000-0000-0000B0460000}"/>
    <cellStyle name="Comma 3 13" xfId="1144" xr:uid="{00000000-0005-0000-0000-0000B1460000}"/>
    <cellStyle name="Comma 3 13 2" xfId="4014" xr:uid="{00000000-0005-0000-0000-0000B2460000}"/>
    <cellStyle name="Comma 3 14" xfId="1152" xr:uid="{00000000-0005-0000-0000-0000B3460000}"/>
    <cellStyle name="Comma 3 14 2" xfId="4022" xr:uid="{00000000-0005-0000-0000-0000B4460000}"/>
    <cellStyle name="Comma 3 15" xfId="1164" xr:uid="{00000000-0005-0000-0000-0000B5460000}"/>
    <cellStyle name="Comma 3 15 2" xfId="4034" xr:uid="{00000000-0005-0000-0000-0000B6460000}"/>
    <cellStyle name="Comma 3 16" xfId="1174" xr:uid="{00000000-0005-0000-0000-0000B7460000}"/>
    <cellStyle name="Comma 3 16 2" xfId="4044" xr:uid="{00000000-0005-0000-0000-0000B8460000}"/>
    <cellStyle name="Comma 3 17" xfId="1184" xr:uid="{00000000-0005-0000-0000-0000B9460000}"/>
    <cellStyle name="Comma 3 17 2" xfId="4054" xr:uid="{00000000-0005-0000-0000-0000BA460000}"/>
    <cellStyle name="Comma 3 18" xfId="1194" xr:uid="{00000000-0005-0000-0000-0000BB460000}"/>
    <cellStyle name="Comma 3 18 2" xfId="4064" xr:uid="{00000000-0005-0000-0000-0000BC460000}"/>
    <cellStyle name="Comma 3 19" xfId="1204" xr:uid="{00000000-0005-0000-0000-0000BD460000}"/>
    <cellStyle name="Comma 3 19 2" xfId="4074" xr:uid="{00000000-0005-0000-0000-0000BE460000}"/>
    <cellStyle name="Comma 3 2" xfId="1035" xr:uid="{00000000-0005-0000-0000-0000BF460000}"/>
    <cellStyle name="Comma 3 2 2" xfId="1273" xr:uid="{00000000-0005-0000-0000-0000C0460000}"/>
    <cellStyle name="Comma 3 2 2 2" xfId="18737" xr:uid="{00000000-0005-0000-0000-0000C1460000}"/>
    <cellStyle name="Comma 3 2 2 2 2" xfId="24517" xr:uid="{00000000-0005-0000-0000-0000C2460000}"/>
    <cellStyle name="Comma 3 2 3" xfId="3900" xr:uid="{00000000-0005-0000-0000-0000C3460000}"/>
    <cellStyle name="Comma 3 2 3 2" xfId="24700" xr:uid="{00000000-0005-0000-0000-0000C4460000}"/>
    <cellStyle name="Comma 3 2 3 3" xfId="24699" xr:uid="{00000000-0005-0000-0000-0000C5460000}"/>
    <cellStyle name="Comma 3 2 4" xfId="18736" xr:uid="{00000000-0005-0000-0000-0000C6460000}"/>
    <cellStyle name="Comma 3 20" xfId="1214" xr:uid="{00000000-0005-0000-0000-0000C7460000}"/>
    <cellStyle name="Comma 3 20 2" xfId="4084" xr:uid="{00000000-0005-0000-0000-0000C8460000}"/>
    <cellStyle name="Comma 3 21" xfId="1224" xr:uid="{00000000-0005-0000-0000-0000C9460000}"/>
    <cellStyle name="Comma 3 21 2" xfId="4094" xr:uid="{00000000-0005-0000-0000-0000CA460000}"/>
    <cellStyle name="Comma 3 22" xfId="1234" xr:uid="{00000000-0005-0000-0000-0000CB460000}"/>
    <cellStyle name="Comma 3 22 2" xfId="4104" xr:uid="{00000000-0005-0000-0000-0000CC460000}"/>
    <cellStyle name="Comma 3 23" xfId="1244" xr:uid="{00000000-0005-0000-0000-0000CD460000}"/>
    <cellStyle name="Comma 3 23 2" xfId="4114" xr:uid="{00000000-0005-0000-0000-0000CE460000}"/>
    <cellStyle name="Comma 3 24" xfId="1254" xr:uid="{00000000-0005-0000-0000-0000CF460000}"/>
    <cellStyle name="Comma 3 24 2" xfId="4124" xr:uid="{00000000-0005-0000-0000-0000D0460000}"/>
    <cellStyle name="Comma 3 25" xfId="1263" xr:uid="{00000000-0005-0000-0000-0000D1460000}"/>
    <cellStyle name="Comma 3 25 2" xfId="4133" xr:uid="{00000000-0005-0000-0000-0000D2460000}"/>
    <cellStyle name="Comma 3 26" xfId="110" xr:uid="{00000000-0005-0000-0000-0000D3460000}"/>
    <cellStyle name="Comma 3 27" xfId="24506" xr:uid="{00000000-0005-0000-0000-0000D4460000}"/>
    <cellStyle name="Comma 3 27 2" xfId="26869" xr:uid="{00000000-0005-0000-0000-0000D5460000}"/>
    <cellStyle name="Comma 3 28" xfId="28688" xr:uid="{00000000-0005-0000-0000-0000D6460000}"/>
    <cellStyle name="Comma 3 3" xfId="1036" xr:uid="{00000000-0005-0000-0000-0000D7460000}"/>
    <cellStyle name="Comma 3 3 2" xfId="1759" xr:uid="{00000000-0005-0000-0000-0000D8460000}"/>
    <cellStyle name="Comma 3 3 2 2" xfId="18739" xr:uid="{00000000-0005-0000-0000-0000D9460000}"/>
    <cellStyle name="Comma 3 3 3" xfId="3901" xr:uid="{00000000-0005-0000-0000-0000DA460000}"/>
    <cellStyle name="Comma 3 3 4" xfId="18738" xr:uid="{00000000-0005-0000-0000-0000DB460000}"/>
    <cellStyle name="Comma 3 4" xfId="1054" xr:uid="{00000000-0005-0000-0000-0000DC460000}"/>
    <cellStyle name="Comma 3 4 2" xfId="2094" xr:uid="{00000000-0005-0000-0000-0000DD460000}"/>
    <cellStyle name="Comma 3 4 2 2" xfId="18741" xr:uid="{00000000-0005-0000-0000-0000DE460000}"/>
    <cellStyle name="Comma 3 4 3" xfId="3924" xr:uid="{00000000-0005-0000-0000-0000DF460000}"/>
    <cellStyle name="Comma 3 4 4" xfId="18740" xr:uid="{00000000-0005-0000-0000-0000E0460000}"/>
    <cellStyle name="Comma 3 5" xfId="1064" xr:uid="{00000000-0005-0000-0000-0000E1460000}"/>
    <cellStyle name="Comma 3 5 2" xfId="2468" xr:uid="{00000000-0005-0000-0000-0000E2460000}"/>
    <cellStyle name="Comma 3 5 2 2" xfId="18743" xr:uid="{00000000-0005-0000-0000-0000E3460000}"/>
    <cellStyle name="Comma 3 5 3" xfId="3934" xr:uid="{00000000-0005-0000-0000-0000E4460000}"/>
    <cellStyle name="Comma 3 5 4" xfId="18742" xr:uid="{00000000-0005-0000-0000-0000E5460000}"/>
    <cellStyle name="Comma 3 6" xfId="1074" xr:uid="{00000000-0005-0000-0000-0000E6460000}"/>
    <cellStyle name="Comma 3 6 2" xfId="2840" xr:uid="{00000000-0005-0000-0000-0000E7460000}"/>
    <cellStyle name="Comma 3 6 2 2" xfId="18745" xr:uid="{00000000-0005-0000-0000-0000E8460000}"/>
    <cellStyle name="Comma 3 6 3" xfId="3944" xr:uid="{00000000-0005-0000-0000-0000E9460000}"/>
    <cellStyle name="Comma 3 6 4" xfId="18744" xr:uid="{00000000-0005-0000-0000-0000EA460000}"/>
    <cellStyle name="Comma 3 7" xfId="1084" xr:uid="{00000000-0005-0000-0000-0000EB460000}"/>
    <cellStyle name="Comma 3 7 2" xfId="3211" xr:uid="{00000000-0005-0000-0000-0000EC460000}"/>
    <cellStyle name="Comma 3 7 2 2" xfId="18747" xr:uid="{00000000-0005-0000-0000-0000ED460000}"/>
    <cellStyle name="Comma 3 7 3" xfId="3954" xr:uid="{00000000-0005-0000-0000-0000EE460000}"/>
    <cellStyle name="Comma 3 7 4" xfId="18746" xr:uid="{00000000-0005-0000-0000-0000EF460000}"/>
    <cellStyle name="Comma 3 8" xfId="1094" xr:uid="{00000000-0005-0000-0000-0000F0460000}"/>
    <cellStyle name="Comma 3 8 2" xfId="3964" xr:uid="{00000000-0005-0000-0000-0000F1460000}"/>
    <cellStyle name="Comma 3 8 2 2" xfId="18749" xr:uid="{00000000-0005-0000-0000-0000F2460000}"/>
    <cellStyle name="Comma 3 8 3" xfId="18748" xr:uid="{00000000-0005-0000-0000-0000F3460000}"/>
    <cellStyle name="Comma 3 9" xfId="1104" xr:uid="{00000000-0005-0000-0000-0000F4460000}"/>
    <cellStyle name="Comma 3 9 2" xfId="3974" xr:uid="{00000000-0005-0000-0000-0000F5460000}"/>
    <cellStyle name="Comma 30" xfId="18750" xr:uid="{00000000-0005-0000-0000-0000F6460000}"/>
    <cellStyle name="Comma 30 2" xfId="18751" xr:uid="{00000000-0005-0000-0000-0000F7460000}"/>
    <cellStyle name="Comma 30 3" xfId="24701" xr:uid="{00000000-0005-0000-0000-0000F8460000}"/>
    <cellStyle name="Comma 31" xfId="42" xr:uid="{00000000-0005-0000-0000-0000F9460000}"/>
    <cellStyle name="Comma 31 2" xfId="18753" xr:uid="{00000000-0005-0000-0000-0000FA460000}"/>
    <cellStyle name="Comma 31 2 2" xfId="18754" xr:uid="{00000000-0005-0000-0000-0000FB460000}"/>
    <cellStyle name="Comma 31 2 3" xfId="24703" xr:uid="{00000000-0005-0000-0000-0000FC460000}"/>
    <cellStyle name="Comma 31 3" xfId="18755" xr:uid="{00000000-0005-0000-0000-0000FD460000}"/>
    <cellStyle name="Comma 31 3 2" xfId="18756" xr:uid="{00000000-0005-0000-0000-0000FE460000}"/>
    <cellStyle name="Comma 31 4" xfId="18757" xr:uid="{00000000-0005-0000-0000-0000FF460000}"/>
    <cellStyle name="Comma 31 5" xfId="18752" xr:uid="{00000000-0005-0000-0000-000000470000}"/>
    <cellStyle name="Comma 31 6" xfId="24702" xr:uid="{00000000-0005-0000-0000-000001470000}"/>
    <cellStyle name="Comma 31 6 2" xfId="26870" xr:uid="{00000000-0005-0000-0000-000002470000}"/>
    <cellStyle name="Comma 32" xfId="18758" xr:uid="{00000000-0005-0000-0000-000003470000}"/>
    <cellStyle name="Comma 32 2" xfId="18759" xr:uid="{00000000-0005-0000-0000-000004470000}"/>
    <cellStyle name="Comma 32 2 2" xfId="18760" xr:uid="{00000000-0005-0000-0000-000005470000}"/>
    <cellStyle name="Comma 32 2 3" xfId="24705" xr:uid="{00000000-0005-0000-0000-000006470000}"/>
    <cellStyle name="Comma 32 3" xfId="18761" xr:uid="{00000000-0005-0000-0000-000007470000}"/>
    <cellStyle name="Comma 32 4" xfId="24704" xr:uid="{00000000-0005-0000-0000-000008470000}"/>
    <cellStyle name="Comma 32 4 2" xfId="26871" xr:uid="{00000000-0005-0000-0000-000009470000}"/>
    <cellStyle name="Comma 33" xfId="18762" xr:uid="{00000000-0005-0000-0000-00000A470000}"/>
    <cellStyle name="Comma 33 2" xfId="18763" xr:uid="{00000000-0005-0000-0000-00000B470000}"/>
    <cellStyle name="Comma 33 2 2" xfId="18764" xr:uid="{00000000-0005-0000-0000-00000C470000}"/>
    <cellStyle name="Comma 33 2 3" xfId="24707" xr:uid="{00000000-0005-0000-0000-00000D470000}"/>
    <cellStyle name="Comma 33 3" xfId="18765" xr:uid="{00000000-0005-0000-0000-00000E470000}"/>
    <cellStyle name="Comma 33 4" xfId="24706" xr:uid="{00000000-0005-0000-0000-00000F470000}"/>
    <cellStyle name="Comma 34" xfId="24708" xr:uid="{00000000-0005-0000-0000-000010470000}"/>
    <cellStyle name="Comma 35" xfId="24709" xr:uid="{00000000-0005-0000-0000-000011470000}"/>
    <cellStyle name="Comma 36" xfId="24710" xr:uid="{00000000-0005-0000-0000-000012470000}"/>
    <cellStyle name="Comma 36 2" xfId="24711" xr:uid="{00000000-0005-0000-0000-000013470000}"/>
    <cellStyle name="Comma 36 2 2" xfId="26873" xr:uid="{00000000-0005-0000-0000-000014470000}"/>
    <cellStyle name="Comma 36 3" xfId="26872" xr:uid="{00000000-0005-0000-0000-000015470000}"/>
    <cellStyle name="Comma 37" xfId="24712" xr:uid="{00000000-0005-0000-0000-000016470000}"/>
    <cellStyle name="Comma 37 2" xfId="24713" xr:uid="{00000000-0005-0000-0000-000017470000}"/>
    <cellStyle name="Comma 38" xfId="24714" xr:uid="{00000000-0005-0000-0000-000018470000}"/>
    <cellStyle name="Comma 38 2" xfId="24715" xr:uid="{00000000-0005-0000-0000-000019470000}"/>
    <cellStyle name="Comma 39" xfId="24716" xr:uid="{00000000-0005-0000-0000-00001A470000}"/>
    <cellStyle name="Comma 4" xfId="4" xr:uid="{00000000-0005-0000-0000-00001B470000}"/>
    <cellStyle name="Comma 4 10" xfId="4759" xr:uid="{00000000-0005-0000-0000-00001C470000}"/>
    <cellStyle name="Comma 4 10 2" xfId="18768" xr:uid="{00000000-0005-0000-0000-00001D470000}"/>
    <cellStyle name="Comma 4 10 3" xfId="18767" xr:uid="{00000000-0005-0000-0000-00001E470000}"/>
    <cellStyle name="Comma 4 11" xfId="4760" xr:uid="{00000000-0005-0000-0000-00001F470000}"/>
    <cellStyle name="Comma 4 11 2" xfId="18770" xr:uid="{00000000-0005-0000-0000-000020470000}"/>
    <cellStyle name="Comma 4 11 3" xfId="18769" xr:uid="{00000000-0005-0000-0000-000021470000}"/>
    <cellStyle name="Comma 4 12" xfId="4761" xr:uid="{00000000-0005-0000-0000-000022470000}"/>
    <cellStyle name="Comma 4 12 2" xfId="18772" xr:uid="{00000000-0005-0000-0000-000023470000}"/>
    <cellStyle name="Comma 4 12 3" xfId="18771" xr:uid="{00000000-0005-0000-0000-000024470000}"/>
    <cellStyle name="Comma 4 13" xfId="4762" xr:uid="{00000000-0005-0000-0000-000025470000}"/>
    <cellStyle name="Comma 4 13 2" xfId="18774" xr:uid="{00000000-0005-0000-0000-000026470000}"/>
    <cellStyle name="Comma 4 13 3" xfId="18773" xr:uid="{00000000-0005-0000-0000-000027470000}"/>
    <cellStyle name="Comma 4 14" xfId="4763" xr:uid="{00000000-0005-0000-0000-000028470000}"/>
    <cellStyle name="Comma 4 14 2" xfId="18776" xr:uid="{00000000-0005-0000-0000-000029470000}"/>
    <cellStyle name="Comma 4 14 3" xfId="18775" xr:uid="{00000000-0005-0000-0000-00002A470000}"/>
    <cellStyle name="Comma 4 15" xfId="4764" xr:uid="{00000000-0005-0000-0000-00002B470000}"/>
    <cellStyle name="Comma 4 15 2" xfId="18778" xr:uid="{00000000-0005-0000-0000-00002C470000}"/>
    <cellStyle name="Comma 4 15 3" xfId="18777" xr:uid="{00000000-0005-0000-0000-00002D470000}"/>
    <cellStyle name="Comma 4 16" xfId="4765" xr:uid="{00000000-0005-0000-0000-00002E470000}"/>
    <cellStyle name="Comma 4 16 2" xfId="18780" xr:uid="{00000000-0005-0000-0000-00002F470000}"/>
    <cellStyle name="Comma 4 16 3" xfId="18779" xr:uid="{00000000-0005-0000-0000-000030470000}"/>
    <cellStyle name="Comma 4 17" xfId="4766" xr:uid="{00000000-0005-0000-0000-000031470000}"/>
    <cellStyle name="Comma 4 17 2" xfId="18782" xr:uid="{00000000-0005-0000-0000-000032470000}"/>
    <cellStyle name="Comma 4 17 3" xfId="18781" xr:uid="{00000000-0005-0000-0000-000033470000}"/>
    <cellStyle name="Comma 4 18" xfId="4767" xr:uid="{00000000-0005-0000-0000-000034470000}"/>
    <cellStyle name="Comma 4 18 2" xfId="18784" xr:uid="{00000000-0005-0000-0000-000035470000}"/>
    <cellStyle name="Comma 4 18 3" xfId="18783" xr:uid="{00000000-0005-0000-0000-000036470000}"/>
    <cellStyle name="Comma 4 19" xfId="4768" xr:uid="{00000000-0005-0000-0000-000037470000}"/>
    <cellStyle name="Comma 4 19 2" xfId="18786" xr:uid="{00000000-0005-0000-0000-000038470000}"/>
    <cellStyle name="Comma 4 19 3" xfId="18785" xr:uid="{00000000-0005-0000-0000-000039470000}"/>
    <cellStyle name="Comma 4 2" xfId="43" xr:uid="{00000000-0005-0000-0000-00003A470000}"/>
    <cellStyle name="Comma 4 2 2" xfId="18788" xr:uid="{00000000-0005-0000-0000-00003B470000}"/>
    <cellStyle name="Comma 4 2 2 2" xfId="24717" xr:uid="{00000000-0005-0000-0000-00003C470000}"/>
    <cellStyle name="Comma 4 2 2 2 2" xfId="26874" xr:uid="{00000000-0005-0000-0000-00003D470000}"/>
    <cellStyle name="Comma 4 2 3" xfId="18787" xr:uid="{00000000-0005-0000-0000-00003E470000}"/>
    <cellStyle name="Comma 4 2 3 2" xfId="24718" xr:uid="{00000000-0005-0000-0000-00003F470000}"/>
    <cellStyle name="Comma 4 2 4" xfId="24519" xr:uid="{00000000-0005-0000-0000-000040470000}"/>
    <cellStyle name="Comma 4 2 4 2" xfId="26875" xr:uid="{00000000-0005-0000-0000-000041470000}"/>
    <cellStyle name="Comma 4 20" xfId="4769" xr:uid="{00000000-0005-0000-0000-000042470000}"/>
    <cellStyle name="Comma 4 20 2" xfId="18790" xr:uid="{00000000-0005-0000-0000-000043470000}"/>
    <cellStyle name="Comma 4 20 3" xfId="18789" xr:uid="{00000000-0005-0000-0000-000044470000}"/>
    <cellStyle name="Comma 4 21" xfId="4770" xr:uid="{00000000-0005-0000-0000-000045470000}"/>
    <cellStyle name="Comma 4 21 2" xfId="18792" xr:uid="{00000000-0005-0000-0000-000046470000}"/>
    <cellStyle name="Comma 4 21 3" xfId="18791" xr:uid="{00000000-0005-0000-0000-000047470000}"/>
    <cellStyle name="Comma 4 22" xfId="4771" xr:uid="{00000000-0005-0000-0000-000048470000}"/>
    <cellStyle name="Comma 4 22 2" xfId="18794" xr:uid="{00000000-0005-0000-0000-000049470000}"/>
    <cellStyle name="Comma 4 22 3" xfId="18793" xr:uid="{00000000-0005-0000-0000-00004A470000}"/>
    <cellStyle name="Comma 4 23" xfId="4772" xr:uid="{00000000-0005-0000-0000-00004B470000}"/>
    <cellStyle name="Comma 4 23 2" xfId="18796" xr:uid="{00000000-0005-0000-0000-00004C470000}"/>
    <cellStyle name="Comma 4 23 3" xfId="18795" xr:uid="{00000000-0005-0000-0000-00004D470000}"/>
    <cellStyle name="Comma 4 24" xfId="4773" xr:uid="{00000000-0005-0000-0000-00004E470000}"/>
    <cellStyle name="Comma 4 24 2" xfId="18798" xr:uid="{00000000-0005-0000-0000-00004F470000}"/>
    <cellStyle name="Comma 4 24 3" xfId="18797" xr:uid="{00000000-0005-0000-0000-000050470000}"/>
    <cellStyle name="Comma 4 25" xfId="18799" xr:uid="{00000000-0005-0000-0000-000051470000}"/>
    <cellStyle name="Comma 4 26" xfId="18766" xr:uid="{00000000-0005-0000-0000-000052470000}"/>
    <cellStyle name="Comma 4 27" xfId="24518" xr:uid="{00000000-0005-0000-0000-000053470000}"/>
    <cellStyle name="Comma 4 3" xfId="44" xr:uid="{00000000-0005-0000-0000-000054470000}"/>
    <cellStyle name="Comma 4 3 2" xfId="18801" xr:uid="{00000000-0005-0000-0000-000055470000}"/>
    <cellStyle name="Comma 4 3 3" xfId="18800" xr:uid="{00000000-0005-0000-0000-000056470000}"/>
    <cellStyle name="Comma 4 3 4" xfId="24520" xr:uid="{00000000-0005-0000-0000-000057470000}"/>
    <cellStyle name="Comma 4 4" xfId="4774" xr:uid="{00000000-0005-0000-0000-000058470000}"/>
    <cellStyle name="Comma 4 4 2" xfId="18803" xr:uid="{00000000-0005-0000-0000-000059470000}"/>
    <cellStyle name="Comma 4 4 3" xfId="18802" xr:uid="{00000000-0005-0000-0000-00005A470000}"/>
    <cellStyle name="Comma 4 5" xfId="4775" xr:uid="{00000000-0005-0000-0000-00005B470000}"/>
    <cellStyle name="Comma 4 5 2" xfId="18805" xr:uid="{00000000-0005-0000-0000-00005C470000}"/>
    <cellStyle name="Comma 4 5 3" xfId="18804" xr:uid="{00000000-0005-0000-0000-00005D470000}"/>
    <cellStyle name="Comma 4 6" xfId="4776" xr:uid="{00000000-0005-0000-0000-00005E470000}"/>
    <cellStyle name="Comma 4 6 2" xfId="18807" xr:uid="{00000000-0005-0000-0000-00005F470000}"/>
    <cellStyle name="Comma 4 6 3" xfId="18806" xr:uid="{00000000-0005-0000-0000-000060470000}"/>
    <cellStyle name="Comma 4 7" xfId="4777" xr:uid="{00000000-0005-0000-0000-000061470000}"/>
    <cellStyle name="Comma 4 7 2" xfId="18809" xr:uid="{00000000-0005-0000-0000-000062470000}"/>
    <cellStyle name="Comma 4 7 3" xfId="18808" xr:uid="{00000000-0005-0000-0000-000063470000}"/>
    <cellStyle name="Comma 4 8" xfId="4778" xr:uid="{00000000-0005-0000-0000-000064470000}"/>
    <cellStyle name="Comma 4 8 2" xfId="18811" xr:uid="{00000000-0005-0000-0000-000065470000}"/>
    <cellStyle name="Comma 4 8 3" xfId="18810" xr:uid="{00000000-0005-0000-0000-000066470000}"/>
    <cellStyle name="Comma 4 9" xfId="4779" xr:uid="{00000000-0005-0000-0000-000067470000}"/>
    <cellStyle name="Comma 4 9 2" xfId="18813" xr:uid="{00000000-0005-0000-0000-000068470000}"/>
    <cellStyle name="Comma 4 9 3" xfId="18812" xr:uid="{00000000-0005-0000-0000-000069470000}"/>
    <cellStyle name="Comma 40" xfId="24719" xr:uid="{00000000-0005-0000-0000-00006A470000}"/>
    <cellStyle name="Comma 41" xfId="24720" xr:uid="{00000000-0005-0000-0000-00006B470000}"/>
    <cellStyle name="Comma 41 2" xfId="26876" xr:uid="{00000000-0005-0000-0000-00006C470000}"/>
    <cellStyle name="Comma 42" xfId="24721" xr:uid="{00000000-0005-0000-0000-00006D470000}"/>
    <cellStyle name="Comma 42 2" xfId="26877" xr:uid="{00000000-0005-0000-0000-00006E470000}"/>
    <cellStyle name="Comma 43" xfId="24722" xr:uid="{00000000-0005-0000-0000-00006F470000}"/>
    <cellStyle name="Comma 43 2" xfId="26878" xr:uid="{00000000-0005-0000-0000-000070470000}"/>
    <cellStyle name="Comma 44" xfId="24723" xr:uid="{00000000-0005-0000-0000-000071470000}"/>
    <cellStyle name="Comma 44 2" xfId="26879" xr:uid="{00000000-0005-0000-0000-000072470000}"/>
    <cellStyle name="Comma 45" xfId="24724" xr:uid="{00000000-0005-0000-0000-000073470000}"/>
    <cellStyle name="Comma 46" xfId="24725" xr:uid="{00000000-0005-0000-0000-000074470000}"/>
    <cellStyle name="Comma 47" xfId="24726" xr:uid="{00000000-0005-0000-0000-000075470000}"/>
    <cellStyle name="Comma 47 2" xfId="26880" xr:uid="{00000000-0005-0000-0000-000076470000}"/>
    <cellStyle name="Comma 48" xfId="24727" xr:uid="{00000000-0005-0000-0000-000077470000}"/>
    <cellStyle name="Comma 48 2" xfId="26881" xr:uid="{00000000-0005-0000-0000-000078470000}"/>
    <cellStyle name="Comma 49" xfId="24728" xr:uid="{00000000-0005-0000-0000-000079470000}"/>
    <cellStyle name="Comma 49 2" xfId="26882" xr:uid="{00000000-0005-0000-0000-00007A470000}"/>
    <cellStyle name="Comma 5" xfId="45" xr:uid="{00000000-0005-0000-0000-00007B470000}"/>
    <cellStyle name="Comma 5 10" xfId="1111" xr:uid="{00000000-0005-0000-0000-00007C470000}"/>
    <cellStyle name="Comma 5 10 2" xfId="3981" xr:uid="{00000000-0005-0000-0000-00007D470000}"/>
    <cellStyle name="Comma 5 10 2 2" xfId="18815" xr:uid="{00000000-0005-0000-0000-00007E470000}"/>
    <cellStyle name="Comma 5 10 3" xfId="18814" xr:uid="{00000000-0005-0000-0000-00007F470000}"/>
    <cellStyle name="Comma 5 11" xfId="1121" xr:uid="{00000000-0005-0000-0000-000080470000}"/>
    <cellStyle name="Comma 5 11 2" xfId="3991" xr:uid="{00000000-0005-0000-0000-000081470000}"/>
    <cellStyle name="Comma 5 11 2 2" xfId="18817" xr:uid="{00000000-0005-0000-0000-000082470000}"/>
    <cellStyle name="Comma 5 11 3" xfId="18816" xr:uid="{00000000-0005-0000-0000-000083470000}"/>
    <cellStyle name="Comma 5 12" xfId="1131" xr:uid="{00000000-0005-0000-0000-000084470000}"/>
    <cellStyle name="Comma 5 12 2" xfId="4001" xr:uid="{00000000-0005-0000-0000-000085470000}"/>
    <cellStyle name="Comma 5 12 2 2" xfId="18819" xr:uid="{00000000-0005-0000-0000-000086470000}"/>
    <cellStyle name="Comma 5 12 3" xfId="18818" xr:uid="{00000000-0005-0000-0000-000087470000}"/>
    <cellStyle name="Comma 5 13" xfId="1141" xr:uid="{00000000-0005-0000-0000-000088470000}"/>
    <cellStyle name="Comma 5 13 2" xfId="4011" xr:uid="{00000000-0005-0000-0000-000089470000}"/>
    <cellStyle name="Comma 5 13 2 2" xfId="18821" xr:uid="{00000000-0005-0000-0000-00008A470000}"/>
    <cellStyle name="Comma 5 13 3" xfId="18820" xr:uid="{00000000-0005-0000-0000-00008B470000}"/>
    <cellStyle name="Comma 5 14" xfId="1142" xr:uid="{00000000-0005-0000-0000-00008C470000}"/>
    <cellStyle name="Comma 5 14 2" xfId="4012" xr:uid="{00000000-0005-0000-0000-00008D470000}"/>
    <cellStyle name="Comma 5 14 2 2" xfId="18823" xr:uid="{00000000-0005-0000-0000-00008E470000}"/>
    <cellStyle name="Comma 5 14 3" xfId="18822" xr:uid="{00000000-0005-0000-0000-00008F470000}"/>
    <cellStyle name="Comma 5 15" xfId="1159" xr:uid="{00000000-0005-0000-0000-000090470000}"/>
    <cellStyle name="Comma 5 15 2" xfId="4029" xr:uid="{00000000-0005-0000-0000-000091470000}"/>
    <cellStyle name="Comma 5 15 2 2" xfId="18825" xr:uid="{00000000-0005-0000-0000-000092470000}"/>
    <cellStyle name="Comma 5 15 3" xfId="18824" xr:uid="{00000000-0005-0000-0000-000093470000}"/>
    <cellStyle name="Comma 5 16" xfId="1171" xr:uid="{00000000-0005-0000-0000-000094470000}"/>
    <cellStyle name="Comma 5 16 2" xfId="4041" xr:uid="{00000000-0005-0000-0000-000095470000}"/>
    <cellStyle name="Comma 5 16 2 2" xfId="18827" xr:uid="{00000000-0005-0000-0000-000096470000}"/>
    <cellStyle name="Comma 5 16 3" xfId="18826" xr:uid="{00000000-0005-0000-0000-000097470000}"/>
    <cellStyle name="Comma 5 17" xfId="1181" xr:uid="{00000000-0005-0000-0000-000098470000}"/>
    <cellStyle name="Comma 5 17 2" xfId="4051" xr:uid="{00000000-0005-0000-0000-000099470000}"/>
    <cellStyle name="Comma 5 17 2 2" xfId="18829" xr:uid="{00000000-0005-0000-0000-00009A470000}"/>
    <cellStyle name="Comma 5 17 3" xfId="18828" xr:uid="{00000000-0005-0000-0000-00009B470000}"/>
    <cellStyle name="Comma 5 18" xfId="1191" xr:uid="{00000000-0005-0000-0000-00009C470000}"/>
    <cellStyle name="Comma 5 18 2" xfId="4061" xr:uid="{00000000-0005-0000-0000-00009D470000}"/>
    <cellStyle name="Comma 5 18 2 2" xfId="18831" xr:uid="{00000000-0005-0000-0000-00009E470000}"/>
    <cellStyle name="Comma 5 18 3" xfId="18830" xr:uid="{00000000-0005-0000-0000-00009F470000}"/>
    <cellStyle name="Comma 5 19" xfId="1201" xr:uid="{00000000-0005-0000-0000-0000A0470000}"/>
    <cellStyle name="Comma 5 19 2" xfId="4071" xr:uid="{00000000-0005-0000-0000-0000A1470000}"/>
    <cellStyle name="Comma 5 19 2 2" xfId="18833" xr:uid="{00000000-0005-0000-0000-0000A2470000}"/>
    <cellStyle name="Comma 5 19 3" xfId="18832" xr:uid="{00000000-0005-0000-0000-0000A3470000}"/>
    <cellStyle name="Comma 5 2" xfId="46" xr:uid="{00000000-0005-0000-0000-0000A4470000}"/>
    <cellStyle name="Comma 5 2 2" xfId="47" xr:uid="{00000000-0005-0000-0000-0000A5470000}"/>
    <cellStyle name="Comma 5 2 2 2" xfId="18835" xr:uid="{00000000-0005-0000-0000-0000A6470000}"/>
    <cellStyle name="Comma 5 2 3" xfId="48" xr:uid="{00000000-0005-0000-0000-0000A7470000}"/>
    <cellStyle name="Comma 5 2 4" xfId="18834" xr:uid="{00000000-0005-0000-0000-0000A8470000}"/>
    <cellStyle name="Comma 5 20" xfId="1211" xr:uid="{00000000-0005-0000-0000-0000A9470000}"/>
    <cellStyle name="Comma 5 20 2" xfId="4081" xr:uid="{00000000-0005-0000-0000-0000AA470000}"/>
    <cellStyle name="Comma 5 20 2 2" xfId="18837" xr:uid="{00000000-0005-0000-0000-0000AB470000}"/>
    <cellStyle name="Comma 5 20 3" xfId="18836" xr:uid="{00000000-0005-0000-0000-0000AC470000}"/>
    <cellStyle name="Comma 5 21" xfId="1221" xr:uid="{00000000-0005-0000-0000-0000AD470000}"/>
    <cellStyle name="Comma 5 21 2" xfId="4091" xr:uid="{00000000-0005-0000-0000-0000AE470000}"/>
    <cellStyle name="Comma 5 21 2 2" xfId="18839" xr:uid="{00000000-0005-0000-0000-0000AF470000}"/>
    <cellStyle name="Comma 5 21 3" xfId="18838" xr:uid="{00000000-0005-0000-0000-0000B0470000}"/>
    <cellStyle name="Comma 5 22" xfId="1231" xr:uid="{00000000-0005-0000-0000-0000B1470000}"/>
    <cellStyle name="Comma 5 22 2" xfId="4101" xr:uid="{00000000-0005-0000-0000-0000B2470000}"/>
    <cellStyle name="Comma 5 22 2 2" xfId="18841" xr:uid="{00000000-0005-0000-0000-0000B3470000}"/>
    <cellStyle name="Comma 5 22 3" xfId="18840" xr:uid="{00000000-0005-0000-0000-0000B4470000}"/>
    <cellStyle name="Comma 5 23" xfId="1241" xr:uid="{00000000-0005-0000-0000-0000B5470000}"/>
    <cellStyle name="Comma 5 23 2" xfId="4111" xr:uid="{00000000-0005-0000-0000-0000B6470000}"/>
    <cellStyle name="Comma 5 23 2 2" xfId="18843" xr:uid="{00000000-0005-0000-0000-0000B7470000}"/>
    <cellStyle name="Comma 5 23 3" xfId="18842" xr:uid="{00000000-0005-0000-0000-0000B8470000}"/>
    <cellStyle name="Comma 5 24" xfId="1251" xr:uid="{00000000-0005-0000-0000-0000B9470000}"/>
    <cellStyle name="Comma 5 24 2" xfId="4121" xr:uid="{00000000-0005-0000-0000-0000BA470000}"/>
    <cellStyle name="Comma 5 24 2 2" xfId="18845" xr:uid="{00000000-0005-0000-0000-0000BB470000}"/>
    <cellStyle name="Comma 5 24 3" xfId="18844" xr:uid="{00000000-0005-0000-0000-0000BC470000}"/>
    <cellStyle name="Comma 5 25" xfId="1261" xr:uid="{00000000-0005-0000-0000-0000BD470000}"/>
    <cellStyle name="Comma 5 25 2" xfId="4131" xr:uid="{00000000-0005-0000-0000-0000BE470000}"/>
    <cellStyle name="Comma 5 26" xfId="24521" xr:uid="{00000000-0005-0000-0000-0000BF470000}"/>
    <cellStyle name="Comma 5 26 2" xfId="26883" xr:uid="{00000000-0005-0000-0000-0000C0470000}"/>
    <cellStyle name="Comma 5 3" xfId="49" xr:uid="{00000000-0005-0000-0000-0000C1470000}"/>
    <cellStyle name="Comma 5 3 2" xfId="3916" xr:uid="{00000000-0005-0000-0000-0000C2470000}"/>
    <cellStyle name="Comma 5 3 2 2" xfId="18847" xr:uid="{00000000-0005-0000-0000-0000C3470000}"/>
    <cellStyle name="Comma 5 3 3" xfId="1046" xr:uid="{00000000-0005-0000-0000-0000C4470000}"/>
    <cellStyle name="Comma 5 3 4" xfId="18846" xr:uid="{00000000-0005-0000-0000-0000C5470000}"/>
    <cellStyle name="Comma 5 3 5" xfId="24729" xr:uid="{00000000-0005-0000-0000-0000C6470000}"/>
    <cellStyle name="Comma 5 3 5 2" xfId="26884" xr:uid="{00000000-0005-0000-0000-0000C7470000}"/>
    <cellStyle name="Comma 5 4" xfId="1048" xr:uid="{00000000-0005-0000-0000-0000C8470000}"/>
    <cellStyle name="Comma 5 4 2" xfId="3918" xr:uid="{00000000-0005-0000-0000-0000C9470000}"/>
    <cellStyle name="Comma 5 4 2 2" xfId="18849" xr:uid="{00000000-0005-0000-0000-0000CA470000}"/>
    <cellStyle name="Comma 5 4 3" xfId="18848" xr:uid="{00000000-0005-0000-0000-0000CB470000}"/>
    <cellStyle name="Comma 5 4 4" xfId="24730" xr:uid="{00000000-0005-0000-0000-0000CC470000}"/>
    <cellStyle name="Comma 5 5" xfId="1061" xr:uid="{00000000-0005-0000-0000-0000CD470000}"/>
    <cellStyle name="Comma 5 5 2" xfId="3931" xr:uid="{00000000-0005-0000-0000-0000CE470000}"/>
    <cellStyle name="Comma 5 5 2 2" xfId="18851" xr:uid="{00000000-0005-0000-0000-0000CF470000}"/>
    <cellStyle name="Comma 5 5 3" xfId="18850" xr:uid="{00000000-0005-0000-0000-0000D0470000}"/>
    <cellStyle name="Comma 5 6" xfId="1071" xr:uid="{00000000-0005-0000-0000-0000D1470000}"/>
    <cellStyle name="Comma 5 6 2" xfId="3941" xr:uid="{00000000-0005-0000-0000-0000D2470000}"/>
    <cellStyle name="Comma 5 6 2 2" xfId="18853" xr:uid="{00000000-0005-0000-0000-0000D3470000}"/>
    <cellStyle name="Comma 5 6 3" xfId="18852" xr:uid="{00000000-0005-0000-0000-0000D4470000}"/>
    <cellStyle name="Comma 5 7" xfId="1081" xr:uid="{00000000-0005-0000-0000-0000D5470000}"/>
    <cellStyle name="Comma 5 7 2" xfId="3951" xr:uid="{00000000-0005-0000-0000-0000D6470000}"/>
    <cellStyle name="Comma 5 7 2 2" xfId="18855" xr:uid="{00000000-0005-0000-0000-0000D7470000}"/>
    <cellStyle name="Comma 5 7 3" xfId="18854" xr:uid="{00000000-0005-0000-0000-0000D8470000}"/>
    <cellStyle name="Comma 5 8" xfId="1091" xr:uid="{00000000-0005-0000-0000-0000D9470000}"/>
    <cellStyle name="Comma 5 8 2" xfId="3961" xr:uid="{00000000-0005-0000-0000-0000DA470000}"/>
    <cellStyle name="Comma 5 8 2 2" xfId="18857" xr:uid="{00000000-0005-0000-0000-0000DB470000}"/>
    <cellStyle name="Comma 5 8 3" xfId="18856" xr:uid="{00000000-0005-0000-0000-0000DC470000}"/>
    <cellStyle name="Comma 5 9" xfId="1101" xr:uid="{00000000-0005-0000-0000-0000DD470000}"/>
    <cellStyle name="Comma 5 9 2" xfId="3971" xr:uid="{00000000-0005-0000-0000-0000DE470000}"/>
    <cellStyle name="Comma 5 9 2 2" xfId="18859" xr:uid="{00000000-0005-0000-0000-0000DF470000}"/>
    <cellStyle name="Comma 5 9 3" xfId="18858" xr:uid="{00000000-0005-0000-0000-0000E0470000}"/>
    <cellStyle name="Comma 50" xfId="24731" xr:uid="{00000000-0005-0000-0000-0000E1470000}"/>
    <cellStyle name="Comma 51" xfId="24732" xr:uid="{00000000-0005-0000-0000-0000E2470000}"/>
    <cellStyle name="Comma 52" xfId="24733" xr:uid="{00000000-0005-0000-0000-0000E3470000}"/>
    <cellStyle name="Comma 53" xfId="24734" xr:uid="{00000000-0005-0000-0000-0000E4470000}"/>
    <cellStyle name="Comma 54" xfId="24735" xr:uid="{00000000-0005-0000-0000-0000E5470000}"/>
    <cellStyle name="Comma 55" xfId="24736" xr:uid="{00000000-0005-0000-0000-0000E6470000}"/>
    <cellStyle name="Comma 56" xfId="24737" xr:uid="{00000000-0005-0000-0000-0000E7470000}"/>
    <cellStyle name="Comma 57" xfId="24738" xr:uid="{00000000-0005-0000-0000-0000E8470000}"/>
    <cellStyle name="Comma 58" xfId="24466" xr:uid="{00000000-0005-0000-0000-0000E9470000}"/>
    <cellStyle name="Comma 59" xfId="24555" xr:uid="{00000000-0005-0000-0000-0000EA470000}"/>
    <cellStyle name="Comma 6" xfId="65" xr:uid="{00000000-0005-0000-0000-0000EB470000}"/>
    <cellStyle name="Comma 6 10" xfId="4780" xr:uid="{00000000-0005-0000-0000-0000EC470000}"/>
    <cellStyle name="Comma 6 10 2" xfId="18862" xr:uid="{00000000-0005-0000-0000-0000ED470000}"/>
    <cellStyle name="Comma 6 10 3" xfId="18861" xr:uid="{00000000-0005-0000-0000-0000EE470000}"/>
    <cellStyle name="Comma 6 11" xfId="4781" xr:uid="{00000000-0005-0000-0000-0000EF470000}"/>
    <cellStyle name="Comma 6 11 2" xfId="18864" xr:uid="{00000000-0005-0000-0000-0000F0470000}"/>
    <cellStyle name="Comma 6 11 3" xfId="18863" xr:uid="{00000000-0005-0000-0000-0000F1470000}"/>
    <cellStyle name="Comma 6 12" xfId="4782" xr:uid="{00000000-0005-0000-0000-0000F2470000}"/>
    <cellStyle name="Comma 6 12 2" xfId="18866" xr:uid="{00000000-0005-0000-0000-0000F3470000}"/>
    <cellStyle name="Comma 6 12 3" xfId="18865" xr:uid="{00000000-0005-0000-0000-0000F4470000}"/>
    <cellStyle name="Comma 6 13" xfId="4783" xr:uid="{00000000-0005-0000-0000-0000F5470000}"/>
    <cellStyle name="Comma 6 13 2" xfId="18868" xr:uid="{00000000-0005-0000-0000-0000F6470000}"/>
    <cellStyle name="Comma 6 13 3" xfId="18867" xr:uid="{00000000-0005-0000-0000-0000F7470000}"/>
    <cellStyle name="Comma 6 14" xfId="4784" xr:uid="{00000000-0005-0000-0000-0000F8470000}"/>
    <cellStyle name="Comma 6 14 2" xfId="18870" xr:uid="{00000000-0005-0000-0000-0000F9470000}"/>
    <cellStyle name="Comma 6 14 3" xfId="18869" xr:uid="{00000000-0005-0000-0000-0000FA470000}"/>
    <cellStyle name="Comma 6 15" xfId="4785" xr:uid="{00000000-0005-0000-0000-0000FB470000}"/>
    <cellStyle name="Comma 6 15 2" xfId="18872" xr:uid="{00000000-0005-0000-0000-0000FC470000}"/>
    <cellStyle name="Comma 6 15 3" xfId="18871" xr:uid="{00000000-0005-0000-0000-0000FD470000}"/>
    <cellStyle name="Comma 6 16" xfId="4786" xr:uid="{00000000-0005-0000-0000-0000FE470000}"/>
    <cellStyle name="Comma 6 16 2" xfId="18874" xr:uid="{00000000-0005-0000-0000-0000FF470000}"/>
    <cellStyle name="Comma 6 16 3" xfId="18873" xr:uid="{00000000-0005-0000-0000-000000480000}"/>
    <cellStyle name="Comma 6 17" xfId="4787" xr:uid="{00000000-0005-0000-0000-000001480000}"/>
    <cellStyle name="Comma 6 17 2" xfId="18876" xr:uid="{00000000-0005-0000-0000-000002480000}"/>
    <cellStyle name="Comma 6 17 3" xfId="18875" xr:uid="{00000000-0005-0000-0000-000003480000}"/>
    <cellStyle name="Comma 6 18" xfId="4788" xr:uid="{00000000-0005-0000-0000-000004480000}"/>
    <cellStyle name="Comma 6 18 2" xfId="18878" xr:uid="{00000000-0005-0000-0000-000005480000}"/>
    <cellStyle name="Comma 6 18 3" xfId="18877" xr:uid="{00000000-0005-0000-0000-000006480000}"/>
    <cellStyle name="Comma 6 19" xfId="4789" xr:uid="{00000000-0005-0000-0000-000007480000}"/>
    <cellStyle name="Comma 6 19 2" xfId="18880" xr:uid="{00000000-0005-0000-0000-000008480000}"/>
    <cellStyle name="Comma 6 19 3" xfId="18879" xr:uid="{00000000-0005-0000-0000-000009480000}"/>
    <cellStyle name="Comma 6 2" xfId="50" xr:uid="{00000000-0005-0000-0000-00000A480000}"/>
    <cellStyle name="Comma 6 2 2" xfId="18882" xr:uid="{00000000-0005-0000-0000-00000B480000}"/>
    <cellStyle name="Comma 6 2 3" xfId="18881" xr:uid="{00000000-0005-0000-0000-00000C480000}"/>
    <cellStyle name="Comma 6 2 4" xfId="24739" xr:uid="{00000000-0005-0000-0000-00000D480000}"/>
    <cellStyle name="Comma 6 20" xfId="4790" xr:uid="{00000000-0005-0000-0000-00000E480000}"/>
    <cellStyle name="Comma 6 20 2" xfId="18884" xr:uid="{00000000-0005-0000-0000-00000F480000}"/>
    <cellStyle name="Comma 6 20 3" xfId="18883" xr:uid="{00000000-0005-0000-0000-000010480000}"/>
    <cellStyle name="Comma 6 21" xfId="4791" xr:uid="{00000000-0005-0000-0000-000011480000}"/>
    <cellStyle name="Comma 6 21 2" xfId="18886" xr:uid="{00000000-0005-0000-0000-000012480000}"/>
    <cellStyle name="Comma 6 21 3" xfId="18885" xr:uid="{00000000-0005-0000-0000-000013480000}"/>
    <cellStyle name="Comma 6 22" xfId="4792" xr:uid="{00000000-0005-0000-0000-000014480000}"/>
    <cellStyle name="Comma 6 22 2" xfId="18888" xr:uid="{00000000-0005-0000-0000-000015480000}"/>
    <cellStyle name="Comma 6 22 3" xfId="18887" xr:uid="{00000000-0005-0000-0000-000016480000}"/>
    <cellStyle name="Comma 6 23" xfId="4793" xr:uid="{00000000-0005-0000-0000-000017480000}"/>
    <cellStyle name="Comma 6 23 2" xfId="18890" xr:uid="{00000000-0005-0000-0000-000018480000}"/>
    <cellStyle name="Comma 6 23 3" xfId="18889" xr:uid="{00000000-0005-0000-0000-000019480000}"/>
    <cellStyle name="Comma 6 24" xfId="4794" xr:uid="{00000000-0005-0000-0000-00001A480000}"/>
    <cellStyle name="Comma 6 24 2" xfId="18892" xr:uid="{00000000-0005-0000-0000-00001B480000}"/>
    <cellStyle name="Comma 6 24 3" xfId="18891" xr:uid="{00000000-0005-0000-0000-00001C480000}"/>
    <cellStyle name="Comma 6 25" xfId="6500" xr:uid="{00000000-0005-0000-0000-00001D480000}"/>
    <cellStyle name="Comma 6 25 2" xfId="18893" xr:uid="{00000000-0005-0000-0000-00001E480000}"/>
    <cellStyle name="Comma 6 25 3" xfId="26886" xr:uid="{00000000-0005-0000-0000-00001F480000}"/>
    <cellStyle name="Comma 6 26" xfId="18860" xr:uid="{00000000-0005-0000-0000-000020480000}"/>
    <cellStyle name="Comma 6 27" xfId="24522" xr:uid="{00000000-0005-0000-0000-000021480000}"/>
    <cellStyle name="Comma 6 28" xfId="26885" xr:uid="{00000000-0005-0000-0000-000022480000}"/>
    <cellStyle name="Comma 6 3" xfId="51" xr:uid="{00000000-0005-0000-0000-000023480000}"/>
    <cellStyle name="Comma 6 3 2" xfId="18895" xr:uid="{00000000-0005-0000-0000-000024480000}"/>
    <cellStyle name="Comma 6 3 3" xfId="18894" xr:uid="{00000000-0005-0000-0000-000025480000}"/>
    <cellStyle name="Comma 6 3 4" xfId="24740" xr:uid="{00000000-0005-0000-0000-000026480000}"/>
    <cellStyle name="Comma 6 4" xfId="4795" xr:uid="{00000000-0005-0000-0000-000027480000}"/>
    <cellStyle name="Comma 6 4 2" xfId="18897" xr:uid="{00000000-0005-0000-0000-000028480000}"/>
    <cellStyle name="Comma 6 4 3" xfId="18896" xr:uid="{00000000-0005-0000-0000-000029480000}"/>
    <cellStyle name="Comma 6 4 4" xfId="24741" xr:uid="{00000000-0005-0000-0000-00002A480000}"/>
    <cellStyle name="Comma 6 5" xfId="4796" xr:uid="{00000000-0005-0000-0000-00002B480000}"/>
    <cellStyle name="Comma 6 5 2" xfId="18899" xr:uid="{00000000-0005-0000-0000-00002C480000}"/>
    <cellStyle name="Comma 6 5 3" xfId="18898" xr:uid="{00000000-0005-0000-0000-00002D480000}"/>
    <cellStyle name="Comma 6 6" xfId="4797" xr:uid="{00000000-0005-0000-0000-00002E480000}"/>
    <cellStyle name="Comma 6 6 2" xfId="18901" xr:uid="{00000000-0005-0000-0000-00002F480000}"/>
    <cellStyle name="Comma 6 6 3" xfId="18900" xr:uid="{00000000-0005-0000-0000-000030480000}"/>
    <cellStyle name="Comma 6 7" xfId="4798" xr:uid="{00000000-0005-0000-0000-000031480000}"/>
    <cellStyle name="Comma 6 7 2" xfId="18903" xr:uid="{00000000-0005-0000-0000-000032480000}"/>
    <cellStyle name="Comma 6 7 3" xfId="18902" xr:uid="{00000000-0005-0000-0000-000033480000}"/>
    <cellStyle name="Comma 6 8" xfId="4799" xr:uid="{00000000-0005-0000-0000-000034480000}"/>
    <cellStyle name="Comma 6 8 2" xfId="18905" xr:uid="{00000000-0005-0000-0000-000035480000}"/>
    <cellStyle name="Comma 6 8 3" xfId="18904" xr:uid="{00000000-0005-0000-0000-000036480000}"/>
    <cellStyle name="Comma 6 9" xfId="4800" xr:uid="{00000000-0005-0000-0000-000037480000}"/>
    <cellStyle name="Comma 6 9 2" xfId="18907" xr:uid="{00000000-0005-0000-0000-000038480000}"/>
    <cellStyle name="Comma 6 9 3" xfId="18906" xr:uid="{00000000-0005-0000-0000-000039480000}"/>
    <cellStyle name="Comma 60" xfId="24650" xr:uid="{00000000-0005-0000-0000-00003A480000}"/>
    <cellStyle name="Comma 61" xfId="24828" xr:uid="{00000000-0005-0000-0000-00003B480000}"/>
    <cellStyle name="Comma 62" xfId="24830" xr:uid="{00000000-0005-0000-0000-00003C480000}"/>
    <cellStyle name="Comma 63" xfId="24859" xr:uid="{00000000-0005-0000-0000-00003D480000}"/>
    <cellStyle name="Comma 64" xfId="24873" xr:uid="{00000000-0005-0000-0000-00003E480000}"/>
    <cellStyle name="Comma 65" xfId="28139" xr:uid="{00000000-0005-0000-0000-00003F480000}"/>
    <cellStyle name="Comma 66" xfId="28684" xr:uid="{00000000-0005-0000-0000-000040480000}"/>
    <cellStyle name="Comma 67" xfId="28697" xr:uid="{00000000-0005-0000-0000-000041480000}"/>
    <cellStyle name="Comma 68" xfId="28683" xr:uid="{00000000-0005-0000-0000-000042480000}"/>
    <cellStyle name="Comma 69" xfId="28696" xr:uid="{00000000-0005-0000-0000-000043480000}"/>
    <cellStyle name="Comma 7" xfId="52" xr:uid="{00000000-0005-0000-0000-000044480000}"/>
    <cellStyle name="Comma 7 10" xfId="4801" xr:uid="{00000000-0005-0000-0000-000045480000}"/>
    <cellStyle name="Comma 7 10 2" xfId="18910" xr:uid="{00000000-0005-0000-0000-000046480000}"/>
    <cellStyle name="Comma 7 10 3" xfId="18909" xr:uid="{00000000-0005-0000-0000-000047480000}"/>
    <cellStyle name="Comma 7 11" xfId="4802" xr:uid="{00000000-0005-0000-0000-000048480000}"/>
    <cellStyle name="Comma 7 11 2" xfId="18912" xr:uid="{00000000-0005-0000-0000-000049480000}"/>
    <cellStyle name="Comma 7 11 3" xfId="18911" xr:uid="{00000000-0005-0000-0000-00004A480000}"/>
    <cellStyle name="Comma 7 12" xfId="4803" xr:uid="{00000000-0005-0000-0000-00004B480000}"/>
    <cellStyle name="Comma 7 12 2" xfId="18914" xr:uid="{00000000-0005-0000-0000-00004C480000}"/>
    <cellStyle name="Comma 7 12 3" xfId="18913" xr:uid="{00000000-0005-0000-0000-00004D480000}"/>
    <cellStyle name="Comma 7 13" xfId="4804" xr:uid="{00000000-0005-0000-0000-00004E480000}"/>
    <cellStyle name="Comma 7 13 2" xfId="18916" xr:uid="{00000000-0005-0000-0000-00004F480000}"/>
    <cellStyle name="Comma 7 13 3" xfId="18915" xr:uid="{00000000-0005-0000-0000-000050480000}"/>
    <cellStyle name="Comma 7 14" xfId="4805" xr:uid="{00000000-0005-0000-0000-000051480000}"/>
    <cellStyle name="Comma 7 14 2" xfId="18918" xr:uid="{00000000-0005-0000-0000-000052480000}"/>
    <cellStyle name="Comma 7 14 3" xfId="18917" xr:uid="{00000000-0005-0000-0000-000053480000}"/>
    <cellStyle name="Comma 7 15" xfId="4806" xr:uid="{00000000-0005-0000-0000-000054480000}"/>
    <cellStyle name="Comma 7 15 2" xfId="18920" xr:uid="{00000000-0005-0000-0000-000055480000}"/>
    <cellStyle name="Comma 7 15 3" xfId="18919" xr:uid="{00000000-0005-0000-0000-000056480000}"/>
    <cellStyle name="Comma 7 16" xfId="4807" xr:uid="{00000000-0005-0000-0000-000057480000}"/>
    <cellStyle name="Comma 7 16 2" xfId="18922" xr:uid="{00000000-0005-0000-0000-000058480000}"/>
    <cellStyle name="Comma 7 16 3" xfId="18921" xr:uid="{00000000-0005-0000-0000-000059480000}"/>
    <cellStyle name="Comma 7 17" xfId="4808" xr:uid="{00000000-0005-0000-0000-00005A480000}"/>
    <cellStyle name="Comma 7 17 2" xfId="18924" xr:uid="{00000000-0005-0000-0000-00005B480000}"/>
    <cellStyle name="Comma 7 17 3" xfId="18923" xr:uid="{00000000-0005-0000-0000-00005C480000}"/>
    <cellStyle name="Comma 7 18" xfId="4809" xr:uid="{00000000-0005-0000-0000-00005D480000}"/>
    <cellStyle name="Comma 7 18 2" xfId="18926" xr:uid="{00000000-0005-0000-0000-00005E480000}"/>
    <cellStyle name="Comma 7 18 3" xfId="18925" xr:uid="{00000000-0005-0000-0000-00005F480000}"/>
    <cellStyle name="Comma 7 19" xfId="4810" xr:uid="{00000000-0005-0000-0000-000060480000}"/>
    <cellStyle name="Comma 7 19 2" xfId="18928" xr:uid="{00000000-0005-0000-0000-000061480000}"/>
    <cellStyle name="Comma 7 19 3" xfId="18927" xr:uid="{00000000-0005-0000-0000-000062480000}"/>
    <cellStyle name="Comma 7 2" xfId="3905" xr:uid="{00000000-0005-0000-0000-000063480000}"/>
    <cellStyle name="Comma 7 2 2" xfId="18930" xr:uid="{00000000-0005-0000-0000-000064480000}"/>
    <cellStyle name="Comma 7 2 3" xfId="18929" xr:uid="{00000000-0005-0000-0000-000065480000}"/>
    <cellStyle name="Comma 7 2 4" xfId="24524" xr:uid="{00000000-0005-0000-0000-000066480000}"/>
    <cellStyle name="Comma 7 20" xfId="4811" xr:uid="{00000000-0005-0000-0000-000067480000}"/>
    <cellStyle name="Comma 7 20 2" xfId="18932" xr:uid="{00000000-0005-0000-0000-000068480000}"/>
    <cellStyle name="Comma 7 20 3" xfId="18931" xr:uid="{00000000-0005-0000-0000-000069480000}"/>
    <cellStyle name="Comma 7 21" xfId="4812" xr:uid="{00000000-0005-0000-0000-00006A480000}"/>
    <cellStyle name="Comma 7 21 2" xfId="18934" xr:uid="{00000000-0005-0000-0000-00006B480000}"/>
    <cellStyle name="Comma 7 21 3" xfId="18933" xr:uid="{00000000-0005-0000-0000-00006C480000}"/>
    <cellStyle name="Comma 7 22" xfId="4813" xr:uid="{00000000-0005-0000-0000-00006D480000}"/>
    <cellStyle name="Comma 7 22 2" xfId="18936" xr:uid="{00000000-0005-0000-0000-00006E480000}"/>
    <cellStyle name="Comma 7 22 3" xfId="18935" xr:uid="{00000000-0005-0000-0000-00006F480000}"/>
    <cellStyle name="Comma 7 23" xfId="4814" xr:uid="{00000000-0005-0000-0000-000070480000}"/>
    <cellStyle name="Comma 7 23 2" xfId="18938" xr:uid="{00000000-0005-0000-0000-000071480000}"/>
    <cellStyle name="Comma 7 23 3" xfId="18937" xr:uid="{00000000-0005-0000-0000-000072480000}"/>
    <cellStyle name="Comma 7 24" xfId="4815" xr:uid="{00000000-0005-0000-0000-000073480000}"/>
    <cellStyle name="Comma 7 24 2" xfId="18940" xr:uid="{00000000-0005-0000-0000-000074480000}"/>
    <cellStyle name="Comma 7 24 3" xfId="18939" xr:uid="{00000000-0005-0000-0000-000075480000}"/>
    <cellStyle name="Comma 7 25" xfId="18941" xr:uid="{00000000-0005-0000-0000-000076480000}"/>
    <cellStyle name="Comma 7 26" xfId="18908" xr:uid="{00000000-0005-0000-0000-000077480000}"/>
    <cellStyle name="Comma 7 27" xfId="24523" xr:uid="{00000000-0005-0000-0000-000078480000}"/>
    <cellStyle name="Comma 7 3" xfId="4816" xr:uid="{00000000-0005-0000-0000-000079480000}"/>
    <cellStyle name="Comma 7 3 2" xfId="18943" xr:uid="{00000000-0005-0000-0000-00007A480000}"/>
    <cellStyle name="Comma 7 3 3" xfId="18942" xr:uid="{00000000-0005-0000-0000-00007B480000}"/>
    <cellStyle name="Comma 7 4" xfId="4817" xr:uid="{00000000-0005-0000-0000-00007C480000}"/>
    <cellStyle name="Comma 7 4 2" xfId="18945" xr:uid="{00000000-0005-0000-0000-00007D480000}"/>
    <cellStyle name="Comma 7 4 3" xfId="18944" xr:uid="{00000000-0005-0000-0000-00007E480000}"/>
    <cellStyle name="Comma 7 5" xfId="4818" xr:uid="{00000000-0005-0000-0000-00007F480000}"/>
    <cellStyle name="Comma 7 5 2" xfId="18947" xr:uid="{00000000-0005-0000-0000-000080480000}"/>
    <cellStyle name="Comma 7 5 3" xfId="18946" xr:uid="{00000000-0005-0000-0000-000081480000}"/>
    <cellStyle name="Comma 7 6" xfId="4819" xr:uid="{00000000-0005-0000-0000-000082480000}"/>
    <cellStyle name="Comma 7 6 2" xfId="18949" xr:uid="{00000000-0005-0000-0000-000083480000}"/>
    <cellStyle name="Comma 7 6 3" xfId="18948" xr:uid="{00000000-0005-0000-0000-000084480000}"/>
    <cellStyle name="Comma 7 7" xfId="4820" xr:uid="{00000000-0005-0000-0000-000085480000}"/>
    <cellStyle name="Comma 7 7 2" xfId="18951" xr:uid="{00000000-0005-0000-0000-000086480000}"/>
    <cellStyle name="Comma 7 7 3" xfId="18950" xr:uid="{00000000-0005-0000-0000-000087480000}"/>
    <cellStyle name="Comma 7 8" xfId="4821" xr:uid="{00000000-0005-0000-0000-000088480000}"/>
    <cellStyle name="Comma 7 8 2" xfId="18953" xr:uid="{00000000-0005-0000-0000-000089480000}"/>
    <cellStyle name="Comma 7 8 3" xfId="18952" xr:uid="{00000000-0005-0000-0000-00008A480000}"/>
    <cellStyle name="Comma 7 9" xfId="4822" xr:uid="{00000000-0005-0000-0000-00008B480000}"/>
    <cellStyle name="Comma 7 9 2" xfId="18955" xr:uid="{00000000-0005-0000-0000-00008C480000}"/>
    <cellStyle name="Comma 7 9 3" xfId="18954" xr:uid="{00000000-0005-0000-0000-00008D480000}"/>
    <cellStyle name="Comma 70" xfId="28682" xr:uid="{00000000-0005-0000-0000-00008E480000}"/>
    <cellStyle name="Comma 71" xfId="28695" xr:uid="{00000000-0005-0000-0000-00008F480000}"/>
    <cellStyle name="Comma 72" xfId="28698" xr:uid="{00000000-0005-0000-0000-000090480000}"/>
    <cellStyle name="Comma 73" xfId="28694" xr:uid="{00000000-0005-0000-0000-000091480000}"/>
    <cellStyle name="Comma 74" xfId="28681" xr:uid="{00000000-0005-0000-0000-000092480000}"/>
    <cellStyle name="Comma 75" xfId="28693" xr:uid="{00000000-0005-0000-0000-000093480000}"/>
    <cellStyle name="Comma 76" xfId="28680" xr:uid="{00000000-0005-0000-0000-000094480000}"/>
    <cellStyle name="Comma 77" xfId="28700" xr:uid="{00000000-0005-0000-0000-000095480000}"/>
    <cellStyle name="Comma 78" xfId="28702" xr:uid="{00000000-0005-0000-0000-000096480000}"/>
    <cellStyle name="Comma 79" xfId="28703" xr:uid="{00000000-0005-0000-0000-000097480000}"/>
    <cellStyle name="Comma 8" xfId="53" xr:uid="{00000000-0005-0000-0000-000098480000}"/>
    <cellStyle name="Comma 8 10" xfId="4823" xr:uid="{00000000-0005-0000-0000-000099480000}"/>
    <cellStyle name="Comma 8 10 2" xfId="18958" xr:uid="{00000000-0005-0000-0000-00009A480000}"/>
    <cellStyle name="Comma 8 10 3" xfId="18957" xr:uid="{00000000-0005-0000-0000-00009B480000}"/>
    <cellStyle name="Comma 8 11" xfId="4824" xr:uid="{00000000-0005-0000-0000-00009C480000}"/>
    <cellStyle name="Comma 8 11 2" xfId="18960" xr:uid="{00000000-0005-0000-0000-00009D480000}"/>
    <cellStyle name="Comma 8 11 3" xfId="18959" xr:uid="{00000000-0005-0000-0000-00009E480000}"/>
    <cellStyle name="Comma 8 12" xfId="4825" xr:uid="{00000000-0005-0000-0000-00009F480000}"/>
    <cellStyle name="Comma 8 12 2" xfId="18962" xr:uid="{00000000-0005-0000-0000-0000A0480000}"/>
    <cellStyle name="Comma 8 12 3" xfId="18961" xr:uid="{00000000-0005-0000-0000-0000A1480000}"/>
    <cellStyle name="Comma 8 13" xfId="4826" xr:uid="{00000000-0005-0000-0000-0000A2480000}"/>
    <cellStyle name="Comma 8 13 2" xfId="18964" xr:uid="{00000000-0005-0000-0000-0000A3480000}"/>
    <cellStyle name="Comma 8 13 3" xfId="18963" xr:uid="{00000000-0005-0000-0000-0000A4480000}"/>
    <cellStyle name="Comma 8 14" xfId="4827" xr:uid="{00000000-0005-0000-0000-0000A5480000}"/>
    <cellStyle name="Comma 8 14 2" xfId="18966" xr:uid="{00000000-0005-0000-0000-0000A6480000}"/>
    <cellStyle name="Comma 8 14 3" xfId="18965" xr:uid="{00000000-0005-0000-0000-0000A7480000}"/>
    <cellStyle name="Comma 8 15" xfId="4828" xr:uid="{00000000-0005-0000-0000-0000A8480000}"/>
    <cellStyle name="Comma 8 15 2" xfId="18968" xr:uid="{00000000-0005-0000-0000-0000A9480000}"/>
    <cellStyle name="Comma 8 15 3" xfId="18967" xr:uid="{00000000-0005-0000-0000-0000AA480000}"/>
    <cellStyle name="Comma 8 16" xfId="4829" xr:uid="{00000000-0005-0000-0000-0000AB480000}"/>
    <cellStyle name="Comma 8 16 2" xfId="18970" xr:uid="{00000000-0005-0000-0000-0000AC480000}"/>
    <cellStyle name="Comma 8 16 3" xfId="18969" xr:uid="{00000000-0005-0000-0000-0000AD480000}"/>
    <cellStyle name="Comma 8 17" xfId="4830" xr:uid="{00000000-0005-0000-0000-0000AE480000}"/>
    <cellStyle name="Comma 8 17 2" xfId="18972" xr:uid="{00000000-0005-0000-0000-0000AF480000}"/>
    <cellStyle name="Comma 8 17 3" xfId="18971" xr:uid="{00000000-0005-0000-0000-0000B0480000}"/>
    <cellStyle name="Comma 8 18" xfId="4831" xr:uid="{00000000-0005-0000-0000-0000B1480000}"/>
    <cellStyle name="Comma 8 18 2" xfId="18974" xr:uid="{00000000-0005-0000-0000-0000B2480000}"/>
    <cellStyle name="Comma 8 18 3" xfId="18973" xr:uid="{00000000-0005-0000-0000-0000B3480000}"/>
    <cellStyle name="Comma 8 19" xfId="4832" xr:uid="{00000000-0005-0000-0000-0000B4480000}"/>
    <cellStyle name="Comma 8 19 2" xfId="18976" xr:uid="{00000000-0005-0000-0000-0000B5480000}"/>
    <cellStyle name="Comma 8 19 3" xfId="18975" xr:uid="{00000000-0005-0000-0000-0000B6480000}"/>
    <cellStyle name="Comma 8 2" xfId="3879" xr:uid="{00000000-0005-0000-0000-0000B7480000}"/>
    <cellStyle name="Comma 8 2 2" xfId="18978" xr:uid="{00000000-0005-0000-0000-0000B8480000}"/>
    <cellStyle name="Comma 8 2 2 2" xfId="24742" xr:uid="{00000000-0005-0000-0000-0000B9480000}"/>
    <cellStyle name="Comma 8 2 2 2 2" xfId="26887" xr:uid="{00000000-0005-0000-0000-0000BA480000}"/>
    <cellStyle name="Comma 8 2 3" xfId="18977" xr:uid="{00000000-0005-0000-0000-0000BB480000}"/>
    <cellStyle name="Comma 8 2 3 2" xfId="24743" xr:uid="{00000000-0005-0000-0000-0000BC480000}"/>
    <cellStyle name="Comma 8 2 3 2 2" xfId="26888" xr:uid="{00000000-0005-0000-0000-0000BD480000}"/>
    <cellStyle name="Comma 8 2 4" xfId="24744" xr:uid="{00000000-0005-0000-0000-0000BE480000}"/>
    <cellStyle name="Comma 8 2 4 2" xfId="26889" xr:uid="{00000000-0005-0000-0000-0000BF480000}"/>
    <cellStyle name="Comma 8 2 5" xfId="24745" xr:uid="{00000000-0005-0000-0000-0000C0480000}"/>
    <cellStyle name="Comma 8 2 6" xfId="24746" xr:uid="{00000000-0005-0000-0000-0000C1480000}"/>
    <cellStyle name="Comma 8 2 6 2" xfId="26890" xr:uid="{00000000-0005-0000-0000-0000C2480000}"/>
    <cellStyle name="Comma 8 2 7" xfId="24526" xr:uid="{00000000-0005-0000-0000-0000C3480000}"/>
    <cellStyle name="Comma 8 20" xfId="4833" xr:uid="{00000000-0005-0000-0000-0000C4480000}"/>
    <cellStyle name="Comma 8 20 2" xfId="18980" xr:uid="{00000000-0005-0000-0000-0000C5480000}"/>
    <cellStyle name="Comma 8 20 3" xfId="18979" xr:uid="{00000000-0005-0000-0000-0000C6480000}"/>
    <cellStyle name="Comma 8 21" xfId="4834" xr:uid="{00000000-0005-0000-0000-0000C7480000}"/>
    <cellStyle name="Comma 8 21 2" xfId="18982" xr:uid="{00000000-0005-0000-0000-0000C8480000}"/>
    <cellStyle name="Comma 8 21 3" xfId="18981" xr:uid="{00000000-0005-0000-0000-0000C9480000}"/>
    <cellStyle name="Comma 8 22" xfId="4835" xr:uid="{00000000-0005-0000-0000-0000CA480000}"/>
    <cellStyle name="Comma 8 22 2" xfId="18984" xr:uid="{00000000-0005-0000-0000-0000CB480000}"/>
    <cellStyle name="Comma 8 22 3" xfId="18983" xr:uid="{00000000-0005-0000-0000-0000CC480000}"/>
    <cellStyle name="Comma 8 23" xfId="4836" xr:uid="{00000000-0005-0000-0000-0000CD480000}"/>
    <cellStyle name="Comma 8 23 2" xfId="18986" xr:uid="{00000000-0005-0000-0000-0000CE480000}"/>
    <cellStyle name="Comma 8 23 3" xfId="18985" xr:uid="{00000000-0005-0000-0000-0000CF480000}"/>
    <cellStyle name="Comma 8 24" xfId="4837" xr:uid="{00000000-0005-0000-0000-0000D0480000}"/>
    <cellStyle name="Comma 8 24 2" xfId="18988" xr:uid="{00000000-0005-0000-0000-0000D1480000}"/>
    <cellStyle name="Comma 8 24 3" xfId="18987" xr:uid="{00000000-0005-0000-0000-0000D2480000}"/>
    <cellStyle name="Comma 8 25" xfId="18989" xr:uid="{00000000-0005-0000-0000-0000D3480000}"/>
    <cellStyle name="Comma 8 26" xfId="18956" xr:uid="{00000000-0005-0000-0000-0000D4480000}"/>
    <cellStyle name="Comma 8 27" xfId="24525" xr:uid="{00000000-0005-0000-0000-0000D5480000}"/>
    <cellStyle name="Comma 8 3" xfId="4838" xr:uid="{00000000-0005-0000-0000-0000D6480000}"/>
    <cellStyle name="Comma 8 3 2" xfId="18991" xr:uid="{00000000-0005-0000-0000-0000D7480000}"/>
    <cellStyle name="Comma 8 3 3" xfId="18990" xr:uid="{00000000-0005-0000-0000-0000D8480000}"/>
    <cellStyle name="Comma 8 3 4" xfId="24747" xr:uid="{00000000-0005-0000-0000-0000D9480000}"/>
    <cellStyle name="Comma 8 3 4 2" xfId="26891" xr:uid="{00000000-0005-0000-0000-0000DA480000}"/>
    <cellStyle name="Comma 8 4" xfId="4839" xr:uid="{00000000-0005-0000-0000-0000DB480000}"/>
    <cellStyle name="Comma 8 4 2" xfId="18993" xr:uid="{00000000-0005-0000-0000-0000DC480000}"/>
    <cellStyle name="Comma 8 4 3" xfId="18992" xr:uid="{00000000-0005-0000-0000-0000DD480000}"/>
    <cellStyle name="Comma 8 4 4" xfId="24748" xr:uid="{00000000-0005-0000-0000-0000DE480000}"/>
    <cellStyle name="Comma 8 4 4 2" xfId="26892" xr:uid="{00000000-0005-0000-0000-0000DF480000}"/>
    <cellStyle name="Comma 8 5" xfId="4840" xr:uid="{00000000-0005-0000-0000-0000E0480000}"/>
    <cellStyle name="Comma 8 5 2" xfId="18995" xr:uid="{00000000-0005-0000-0000-0000E1480000}"/>
    <cellStyle name="Comma 8 5 3" xfId="18994" xr:uid="{00000000-0005-0000-0000-0000E2480000}"/>
    <cellStyle name="Comma 8 5 4" xfId="24749" xr:uid="{00000000-0005-0000-0000-0000E3480000}"/>
    <cellStyle name="Comma 8 5 4 2" xfId="26893" xr:uid="{00000000-0005-0000-0000-0000E4480000}"/>
    <cellStyle name="Comma 8 6" xfId="4841" xr:uid="{00000000-0005-0000-0000-0000E5480000}"/>
    <cellStyle name="Comma 8 6 2" xfId="18997" xr:uid="{00000000-0005-0000-0000-0000E6480000}"/>
    <cellStyle name="Comma 8 6 3" xfId="18996" xr:uid="{00000000-0005-0000-0000-0000E7480000}"/>
    <cellStyle name="Comma 8 6 4" xfId="24750" xr:uid="{00000000-0005-0000-0000-0000E8480000}"/>
    <cellStyle name="Comma 8 7" xfId="4842" xr:uid="{00000000-0005-0000-0000-0000E9480000}"/>
    <cellStyle name="Comma 8 7 2" xfId="18999" xr:uid="{00000000-0005-0000-0000-0000EA480000}"/>
    <cellStyle name="Comma 8 7 3" xfId="18998" xr:uid="{00000000-0005-0000-0000-0000EB480000}"/>
    <cellStyle name="Comma 8 7 4" xfId="24751" xr:uid="{00000000-0005-0000-0000-0000EC480000}"/>
    <cellStyle name="Comma 8 7 4 2" xfId="26894" xr:uid="{00000000-0005-0000-0000-0000ED480000}"/>
    <cellStyle name="Comma 8 8" xfId="4843" xr:uid="{00000000-0005-0000-0000-0000EE480000}"/>
    <cellStyle name="Comma 8 8 2" xfId="19001" xr:uid="{00000000-0005-0000-0000-0000EF480000}"/>
    <cellStyle name="Comma 8 8 3" xfId="19000" xr:uid="{00000000-0005-0000-0000-0000F0480000}"/>
    <cellStyle name="Comma 8 9" xfId="4844" xr:uid="{00000000-0005-0000-0000-0000F1480000}"/>
    <cellStyle name="Comma 8 9 2" xfId="19003" xr:uid="{00000000-0005-0000-0000-0000F2480000}"/>
    <cellStyle name="Comma 8 9 3" xfId="19002" xr:uid="{00000000-0005-0000-0000-0000F3480000}"/>
    <cellStyle name="Comma 80" xfId="28704" xr:uid="{00000000-0005-0000-0000-0000F4480000}"/>
    <cellStyle name="Comma 81" xfId="28706" xr:uid="{00000000-0005-0000-0000-0000F5480000}"/>
    <cellStyle name="Comma 82" xfId="28707" xr:uid="{00000000-0005-0000-0000-0000F6480000}"/>
    <cellStyle name="Comma 83" xfId="28708" xr:uid="{00000000-0005-0000-0000-0000F7480000}"/>
    <cellStyle name="Comma 84" xfId="28709" xr:uid="{00000000-0005-0000-0000-0000F8480000}"/>
    <cellStyle name="Comma 85" xfId="28710" xr:uid="{00000000-0005-0000-0000-0000F9480000}"/>
    <cellStyle name="Comma 9" xfId="54" xr:uid="{00000000-0005-0000-0000-0000FA480000}"/>
    <cellStyle name="Comma 9 10" xfId="4845" xr:uid="{00000000-0005-0000-0000-0000FB480000}"/>
    <cellStyle name="Comma 9 10 2" xfId="19006" xr:uid="{00000000-0005-0000-0000-0000FC480000}"/>
    <cellStyle name="Comma 9 10 3" xfId="19005" xr:uid="{00000000-0005-0000-0000-0000FD480000}"/>
    <cellStyle name="Comma 9 11" xfId="4846" xr:uid="{00000000-0005-0000-0000-0000FE480000}"/>
    <cellStyle name="Comma 9 11 2" xfId="19008" xr:uid="{00000000-0005-0000-0000-0000FF480000}"/>
    <cellStyle name="Comma 9 11 3" xfId="19007" xr:uid="{00000000-0005-0000-0000-000000490000}"/>
    <cellStyle name="Comma 9 12" xfId="4847" xr:uid="{00000000-0005-0000-0000-000001490000}"/>
    <cellStyle name="Comma 9 12 2" xfId="19010" xr:uid="{00000000-0005-0000-0000-000002490000}"/>
    <cellStyle name="Comma 9 12 3" xfId="19009" xr:uid="{00000000-0005-0000-0000-000003490000}"/>
    <cellStyle name="Comma 9 13" xfId="4848" xr:uid="{00000000-0005-0000-0000-000004490000}"/>
    <cellStyle name="Comma 9 13 2" xfId="19012" xr:uid="{00000000-0005-0000-0000-000005490000}"/>
    <cellStyle name="Comma 9 13 3" xfId="19011" xr:uid="{00000000-0005-0000-0000-000006490000}"/>
    <cellStyle name="Comma 9 14" xfId="4849" xr:uid="{00000000-0005-0000-0000-000007490000}"/>
    <cellStyle name="Comma 9 14 2" xfId="19014" xr:uid="{00000000-0005-0000-0000-000008490000}"/>
    <cellStyle name="Comma 9 14 3" xfId="19013" xr:uid="{00000000-0005-0000-0000-000009490000}"/>
    <cellStyle name="Comma 9 15" xfId="4850" xr:uid="{00000000-0005-0000-0000-00000A490000}"/>
    <cellStyle name="Comma 9 15 2" xfId="19016" xr:uid="{00000000-0005-0000-0000-00000B490000}"/>
    <cellStyle name="Comma 9 15 3" xfId="19015" xr:uid="{00000000-0005-0000-0000-00000C490000}"/>
    <cellStyle name="Comma 9 16" xfId="4851" xr:uid="{00000000-0005-0000-0000-00000D490000}"/>
    <cellStyle name="Comma 9 16 2" xfId="19018" xr:uid="{00000000-0005-0000-0000-00000E490000}"/>
    <cellStyle name="Comma 9 16 3" xfId="19017" xr:uid="{00000000-0005-0000-0000-00000F490000}"/>
    <cellStyle name="Comma 9 17" xfId="4852" xr:uid="{00000000-0005-0000-0000-000010490000}"/>
    <cellStyle name="Comma 9 17 2" xfId="19020" xr:uid="{00000000-0005-0000-0000-000011490000}"/>
    <cellStyle name="Comma 9 17 3" xfId="19019" xr:uid="{00000000-0005-0000-0000-000012490000}"/>
    <cellStyle name="Comma 9 18" xfId="4853" xr:uid="{00000000-0005-0000-0000-000013490000}"/>
    <cellStyle name="Comma 9 18 2" xfId="19022" xr:uid="{00000000-0005-0000-0000-000014490000}"/>
    <cellStyle name="Comma 9 18 3" xfId="19021" xr:uid="{00000000-0005-0000-0000-000015490000}"/>
    <cellStyle name="Comma 9 19" xfId="4854" xr:uid="{00000000-0005-0000-0000-000016490000}"/>
    <cellStyle name="Comma 9 19 2" xfId="19024" xr:uid="{00000000-0005-0000-0000-000017490000}"/>
    <cellStyle name="Comma 9 19 3" xfId="19023" xr:uid="{00000000-0005-0000-0000-000018490000}"/>
    <cellStyle name="Comma 9 2" xfId="3909" xr:uid="{00000000-0005-0000-0000-000019490000}"/>
    <cellStyle name="Comma 9 2 2" xfId="19026" xr:uid="{00000000-0005-0000-0000-00001A490000}"/>
    <cellStyle name="Comma 9 2 2 2" xfId="24752" xr:uid="{00000000-0005-0000-0000-00001B490000}"/>
    <cellStyle name="Comma 9 2 2 2 2" xfId="26895" xr:uid="{00000000-0005-0000-0000-00001C490000}"/>
    <cellStyle name="Comma 9 2 3" xfId="19025" xr:uid="{00000000-0005-0000-0000-00001D490000}"/>
    <cellStyle name="Comma 9 2 3 2" xfId="24753" xr:uid="{00000000-0005-0000-0000-00001E490000}"/>
    <cellStyle name="Comma 9 2 3 2 2" xfId="26896" xr:uid="{00000000-0005-0000-0000-00001F490000}"/>
    <cellStyle name="Comma 9 2 4" xfId="24754" xr:uid="{00000000-0005-0000-0000-000020490000}"/>
    <cellStyle name="Comma 9 2 4 2" xfId="26897" xr:uid="{00000000-0005-0000-0000-000021490000}"/>
    <cellStyle name="Comma 9 2 5" xfId="24755" xr:uid="{00000000-0005-0000-0000-000022490000}"/>
    <cellStyle name="Comma 9 2 6" xfId="24756" xr:uid="{00000000-0005-0000-0000-000023490000}"/>
    <cellStyle name="Comma 9 2 6 2" xfId="26898" xr:uid="{00000000-0005-0000-0000-000024490000}"/>
    <cellStyle name="Comma 9 2 7" xfId="24528" xr:uid="{00000000-0005-0000-0000-000025490000}"/>
    <cellStyle name="Comma 9 20" xfId="4855" xr:uid="{00000000-0005-0000-0000-000026490000}"/>
    <cellStyle name="Comma 9 20 2" xfId="19028" xr:uid="{00000000-0005-0000-0000-000027490000}"/>
    <cellStyle name="Comma 9 20 3" xfId="19027" xr:uid="{00000000-0005-0000-0000-000028490000}"/>
    <cellStyle name="Comma 9 21" xfId="4856" xr:uid="{00000000-0005-0000-0000-000029490000}"/>
    <cellStyle name="Comma 9 21 2" xfId="19030" xr:uid="{00000000-0005-0000-0000-00002A490000}"/>
    <cellStyle name="Comma 9 21 3" xfId="19029" xr:uid="{00000000-0005-0000-0000-00002B490000}"/>
    <cellStyle name="Comma 9 22" xfId="4857" xr:uid="{00000000-0005-0000-0000-00002C490000}"/>
    <cellStyle name="Comma 9 22 2" xfId="19032" xr:uid="{00000000-0005-0000-0000-00002D490000}"/>
    <cellStyle name="Comma 9 22 3" xfId="19031" xr:uid="{00000000-0005-0000-0000-00002E490000}"/>
    <cellStyle name="Comma 9 23" xfId="4858" xr:uid="{00000000-0005-0000-0000-00002F490000}"/>
    <cellStyle name="Comma 9 23 2" xfId="19034" xr:uid="{00000000-0005-0000-0000-000030490000}"/>
    <cellStyle name="Comma 9 23 3" xfId="19033" xr:uid="{00000000-0005-0000-0000-000031490000}"/>
    <cellStyle name="Comma 9 24" xfId="4859" xr:uid="{00000000-0005-0000-0000-000032490000}"/>
    <cellStyle name="Comma 9 24 2" xfId="19036" xr:uid="{00000000-0005-0000-0000-000033490000}"/>
    <cellStyle name="Comma 9 24 3" xfId="19035" xr:uid="{00000000-0005-0000-0000-000034490000}"/>
    <cellStyle name="Comma 9 25" xfId="19037" xr:uid="{00000000-0005-0000-0000-000035490000}"/>
    <cellStyle name="Comma 9 26" xfId="19004" xr:uid="{00000000-0005-0000-0000-000036490000}"/>
    <cellStyle name="Comma 9 27" xfId="24527" xr:uid="{00000000-0005-0000-0000-000037490000}"/>
    <cellStyle name="Comma 9 3" xfId="4860" xr:uid="{00000000-0005-0000-0000-000038490000}"/>
    <cellStyle name="Comma 9 3 2" xfId="19039" xr:uid="{00000000-0005-0000-0000-000039490000}"/>
    <cellStyle name="Comma 9 3 3" xfId="19038" xr:uid="{00000000-0005-0000-0000-00003A490000}"/>
    <cellStyle name="Comma 9 3 4" xfId="24757" xr:uid="{00000000-0005-0000-0000-00003B490000}"/>
    <cellStyle name="Comma 9 3 4 2" xfId="26899" xr:uid="{00000000-0005-0000-0000-00003C490000}"/>
    <cellStyle name="Comma 9 4" xfId="4861" xr:uid="{00000000-0005-0000-0000-00003D490000}"/>
    <cellStyle name="Comma 9 4 2" xfId="19041" xr:uid="{00000000-0005-0000-0000-00003E490000}"/>
    <cellStyle name="Comma 9 4 3" xfId="19040" xr:uid="{00000000-0005-0000-0000-00003F490000}"/>
    <cellStyle name="Comma 9 4 4" xfId="24758" xr:uid="{00000000-0005-0000-0000-000040490000}"/>
    <cellStyle name="Comma 9 4 4 2" xfId="26900" xr:uid="{00000000-0005-0000-0000-000041490000}"/>
    <cellStyle name="Comma 9 5" xfId="4862" xr:uid="{00000000-0005-0000-0000-000042490000}"/>
    <cellStyle name="Comma 9 5 2" xfId="19043" xr:uid="{00000000-0005-0000-0000-000043490000}"/>
    <cellStyle name="Comma 9 5 3" xfId="19042" xr:uid="{00000000-0005-0000-0000-000044490000}"/>
    <cellStyle name="Comma 9 5 4" xfId="24759" xr:uid="{00000000-0005-0000-0000-000045490000}"/>
    <cellStyle name="Comma 9 5 4 2" xfId="26901" xr:uid="{00000000-0005-0000-0000-000046490000}"/>
    <cellStyle name="Comma 9 6" xfId="4863" xr:uid="{00000000-0005-0000-0000-000047490000}"/>
    <cellStyle name="Comma 9 6 2" xfId="19045" xr:uid="{00000000-0005-0000-0000-000048490000}"/>
    <cellStyle name="Comma 9 6 3" xfId="19044" xr:uid="{00000000-0005-0000-0000-000049490000}"/>
    <cellStyle name="Comma 9 6 4" xfId="24760" xr:uid="{00000000-0005-0000-0000-00004A490000}"/>
    <cellStyle name="Comma 9 7" xfId="4864" xr:uid="{00000000-0005-0000-0000-00004B490000}"/>
    <cellStyle name="Comma 9 7 2" xfId="19047" xr:uid="{00000000-0005-0000-0000-00004C490000}"/>
    <cellStyle name="Comma 9 7 3" xfId="19046" xr:uid="{00000000-0005-0000-0000-00004D490000}"/>
    <cellStyle name="Comma 9 7 4" xfId="24761" xr:uid="{00000000-0005-0000-0000-00004E490000}"/>
    <cellStyle name="Comma 9 7 4 2" xfId="26902" xr:uid="{00000000-0005-0000-0000-00004F490000}"/>
    <cellStyle name="Comma 9 8" xfId="4865" xr:uid="{00000000-0005-0000-0000-000050490000}"/>
    <cellStyle name="Comma 9 8 2" xfId="19049" xr:uid="{00000000-0005-0000-0000-000051490000}"/>
    <cellStyle name="Comma 9 8 3" xfId="19048" xr:uid="{00000000-0005-0000-0000-000052490000}"/>
    <cellStyle name="Comma 9 9" xfId="4866" xr:uid="{00000000-0005-0000-0000-000053490000}"/>
    <cellStyle name="Comma 9 9 2" xfId="19051" xr:uid="{00000000-0005-0000-0000-000054490000}"/>
    <cellStyle name="Comma 9 9 3" xfId="19050" xr:uid="{00000000-0005-0000-0000-000055490000}"/>
    <cellStyle name="Comma0" xfId="24762" xr:uid="{00000000-0005-0000-0000-000056490000}"/>
    <cellStyle name="Comma0 2" xfId="24763" xr:uid="{00000000-0005-0000-0000-000057490000}"/>
    <cellStyle name="Comma1 - Style1" xfId="24529" xr:uid="{00000000-0005-0000-0000-000058490000}"/>
    <cellStyle name="Currency" xfId="5" builtinId="4"/>
    <cellStyle name="Currency 2" xfId="6" xr:uid="{00000000-0005-0000-0000-00005A490000}"/>
    <cellStyle name="Currency 2 2" xfId="139" xr:uid="{00000000-0005-0000-0000-00005B490000}"/>
    <cellStyle name="Currency 2 2 2" xfId="19053" xr:uid="{00000000-0005-0000-0000-00005C490000}"/>
    <cellStyle name="Currency 2 2 2 2" xfId="24530" xr:uid="{00000000-0005-0000-0000-00005D490000}"/>
    <cellStyle name="Currency 2 2 3" xfId="19052" xr:uid="{00000000-0005-0000-0000-00005E490000}"/>
    <cellStyle name="Currency 2 3" xfId="304" xr:uid="{00000000-0005-0000-0000-00005F490000}"/>
    <cellStyle name="Currency 2 3 2" xfId="19055" xr:uid="{00000000-0005-0000-0000-000060490000}"/>
    <cellStyle name="Currency 2 3 2 2" xfId="24531" xr:uid="{00000000-0005-0000-0000-000061490000}"/>
    <cellStyle name="Currency 2 3 3" xfId="19054" xr:uid="{00000000-0005-0000-0000-000062490000}"/>
    <cellStyle name="Currency 2 4" xfId="2122" xr:uid="{00000000-0005-0000-0000-000063490000}"/>
    <cellStyle name="Currency 2 4 2" xfId="19057" xr:uid="{00000000-0005-0000-0000-000064490000}"/>
    <cellStyle name="Currency 2 4 3" xfId="19056" xr:uid="{00000000-0005-0000-0000-000065490000}"/>
    <cellStyle name="Currency 2 5" xfId="2496" xr:uid="{00000000-0005-0000-0000-000066490000}"/>
    <cellStyle name="Currency 2 5 2" xfId="19059" xr:uid="{00000000-0005-0000-0000-000067490000}"/>
    <cellStyle name="Currency 2 5 3" xfId="19058" xr:uid="{00000000-0005-0000-0000-000068490000}"/>
    <cellStyle name="Currency 2 6" xfId="2868" xr:uid="{00000000-0005-0000-0000-000069490000}"/>
    <cellStyle name="Currency 2 6 2" xfId="19061" xr:uid="{00000000-0005-0000-0000-00006A490000}"/>
    <cellStyle name="Currency 2 6 3" xfId="19060" xr:uid="{00000000-0005-0000-0000-00006B490000}"/>
    <cellStyle name="Currency 2 7" xfId="3239" xr:uid="{00000000-0005-0000-0000-00006C490000}"/>
    <cellStyle name="Currency 2 7 2" xfId="19063" xr:uid="{00000000-0005-0000-0000-00006D490000}"/>
    <cellStyle name="Currency 2 7 3" xfId="19062" xr:uid="{00000000-0005-0000-0000-00006E490000}"/>
    <cellStyle name="Currency 2 8" xfId="1272" xr:uid="{00000000-0005-0000-0000-00006F490000}"/>
    <cellStyle name="Currency 2 8 2" xfId="19065" xr:uid="{00000000-0005-0000-0000-000070490000}"/>
    <cellStyle name="Currency 2 8 3" xfId="19064" xr:uid="{00000000-0005-0000-0000-000071490000}"/>
    <cellStyle name="Currency 3" xfId="4867" xr:uid="{00000000-0005-0000-0000-000072490000}"/>
    <cellStyle name="Currency 3 2" xfId="19067" xr:uid="{00000000-0005-0000-0000-000073490000}"/>
    <cellStyle name="Currency 3 2 2" xfId="24764" xr:uid="{00000000-0005-0000-0000-000074490000}"/>
    <cellStyle name="Currency 3 2 2 2" xfId="26903" xr:uid="{00000000-0005-0000-0000-000075490000}"/>
    <cellStyle name="Currency 3 2 3" xfId="24765" xr:uid="{00000000-0005-0000-0000-000076490000}"/>
    <cellStyle name="Currency 3 2 3 2" xfId="26904" xr:uid="{00000000-0005-0000-0000-000077490000}"/>
    <cellStyle name="Currency 3 2 4" xfId="24766" xr:uid="{00000000-0005-0000-0000-000078490000}"/>
    <cellStyle name="Currency 3 2 4 2" xfId="26905" xr:uid="{00000000-0005-0000-0000-000079490000}"/>
    <cellStyle name="Currency 3 2 5" xfId="24767" xr:uid="{00000000-0005-0000-0000-00007A490000}"/>
    <cellStyle name="Currency 3 2 6" xfId="24768" xr:uid="{00000000-0005-0000-0000-00007B490000}"/>
    <cellStyle name="Currency 3 2 6 2" xfId="26906" xr:uid="{00000000-0005-0000-0000-00007C490000}"/>
    <cellStyle name="Currency 3 2 7" xfId="24533" xr:uid="{00000000-0005-0000-0000-00007D490000}"/>
    <cellStyle name="Currency 3 3" xfId="19066" xr:uid="{00000000-0005-0000-0000-00007E490000}"/>
    <cellStyle name="Currency 3 3 2" xfId="24769" xr:uid="{00000000-0005-0000-0000-00007F490000}"/>
    <cellStyle name="Currency 3 3 2 2" xfId="26907" xr:uid="{00000000-0005-0000-0000-000080490000}"/>
    <cellStyle name="Currency 3 4" xfId="24770" xr:uid="{00000000-0005-0000-0000-000081490000}"/>
    <cellStyle name="Currency 3 4 2" xfId="26908" xr:uid="{00000000-0005-0000-0000-000082490000}"/>
    <cellStyle name="Currency 3 5" xfId="24771" xr:uid="{00000000-0005-0000-0000-000083490000}"/>
    <cellStyle name="Currency 3 5 2" xfId="26909" xr:uid="{00000000-0005-0000-0000-000084490000}"/>
    <cellStyle name="Currency 3 6" xfId="24772" xr:uid="{00000000-0005-0000-0000-000085490000}"/>
    <cellStyle name="Currency 3 7" xfId="24773" xr:uid="{00000000-0005-0000-0000-000086490000}"/>
    <cellStyle name="Currency 3 7 2" xfId="26910" xr:uid="{00000000-0005-0000-0000-000087490000}"/>
    <cellStyle name="Currency 3 8" xfId="24532" xr:uid="{00000000-0005-0000-0000-000088490000}"/>
    <cellStyle name="Currency 4" xfId="7101" xr:uid="{00000000-0005-0000-0000-000089490000}"/>
    <cellStyle name="Currency 4 2" xfId="24534" xr:uid="{00000000-0005-0000-0000-00008A490000}"/>
    <cellStyle name="Currency 5" xfId="24535" xr:uid="{00000000-0005-0000-0000-00008B490000}"/>
    <cellStyle name="Currency0" xfId="24774" xr:uid="{00000000-0005-0000-0000-00008C490000}"/>
    <cellStyle name="Currency0 2" xfId="24775" xr:uid="{00000000-0005-0000-0000-00008D490000}"/>
    <cellStyle name="Date" xfId="24776" xr:uid="{00000000-0005-0000-0000-00008E490000}"/>
    <cellStyle name="Date 2" xfId="24777" xr:uid="{00000000-0005-0000-0000-00008F490000}"/>
    <cellStyle name="Euro" xfId="55" xr:uid="{00000000-0005-0000-0000-000090490000}"/>
    <cellStyle name="Euro 2" xfId="19069" xr:uid="{00000000-0005-0000-0000-000091490000}"/>
    <cellStyle name="Euro 2 2" xfId="19070" xr:uid="{00000000-0005-0000-0000-000092490000}"/>
    <cellStyle name="Euro 2 2 2" xfId="19071" xr:uid="{00000000-0005-0000-0000-000093490000}"/>
    <cellStyle name="Euro 2 3" xfId="19072" xr:uid="{00000000-0005-0000-0000-000094490000}"/>
    <cellStyle name="Euro 3" xfId="19073" xr:uid="{00000000-0005-0000-0000-000095490000}"/>
    <cellStyle name="Euro 3 2" xfId="19074" xr:uid="{00000000-0005-0000-0000-000096490000}"/>
    <cellStyle name="Euro 3 2 2" xfId="19075" xr:uid="{00000000-0005-0000-0000-000097490000}"/>
    <cellStyle name="Euro 3 3" xfId="19076" xr:uid="{00000000-0005-0000-0000-000098490000}"/>
    <cellStyle name="Euro 4" xfId="19077" xr:uid="{00000000-0005-0000-0000-000099490000}"/>
    <cellStyle name="Euro 4 2" xfId="19078" xr:uid="{00000000-0005-0000-0000-00009A490000}"/>
    <cellStyle name="Euro 5" xfId="19079" xr:uid="{00000000-0005-0000-0000-00009B490000}"/>
    <cellStyle name="Euro 5 2" xfId="19080" xr:uid="{00000000-0005-0000-0000-00009C490000}"/>
    <cellStyle name="Euro 6" xfId="19081" xr:uid="{00000000-0005-0000-0000-00009D490000}"/>
    <cellStyle name="Euro 7" xfId="19068" xr:uid="{00000000-0005-0000-0000-00009E490000}"/>
    <cellStyle name="Explanatory Text 10" xfId="748" xr:uid="{00000000-0005-0000-0000-00009F490000}"/>
    <cellStyle name="Explanatory Text 10 2" xfId="19084" xr:uid="{00000000-0005-0000-0000-0000A0490000}"/>
    <cellStyle name="Explanatory Text 10 3" xfId="19083" xr:uid="{00000000-0005-0000-0000-0000A1490000}"/>
    <cellStyle name="Explanatory Text 11" xfId="749" xr:uid="{00000000-0005-0000-0000-0000A2490000}"/>
    <cellStyle name="Explanatory Text 11 2" xfId="19086" xr:uid="{00000000-0005-0000-0000-0000A3490000}"/>
    <cellStyle name="Explanatory Text 11 3" xfId="19085" xr:uid="{00000000-0005-0000-0000-0000A4490000}"/>
    <cellStyle name="Explanatory Text 12" xfId="879" xr:uid="{00000000-0005-0000-0000-0000A5490000}"/>
    <cellStyle name="Explanatory Text 12 2" xfId="19087" xr:uid="{00000000-0005-0000-0000-0000A6490000}"/>
    <cellStyle name="Explanatory Text 13" xfId="880" xr:uid="{00000000-0005-0000-0000-0000A7490000}"/>
    <cellStyle name="Explanatory Text 13 2" xfId="19082" xr:uid="{00000000-0005-0000-0000-0000A8490000}"/>
    <cellStyle name="Explanatory Text 14" xfId="975" xr:uid="{00000000-0005-0000-0000-0000A9490000}"/>
    <cellStyle name="Explanatory Text 2" xfId="96" xr:uid="{00000000-0005-0000-0000-0000AA490000}"/>
    <cellStyle name="Explanatory Text 2 10" xfId="1694" xr:uid="{00000000-0005-0000-0000-0000AB490000}"/>
    <cellStyle name="Explanatory Text 2 10 2" xfId="19090" xr:uid="{00000000-0005-0000-0000-0000AC490000}"/>
    <cellStyle name="Explanatory Text 2 10 3" xfId="19089" xr:uid="{00000000-0005-0000-0000-0000AD490000}"/>
    <cellStyle name="Explanatory Text 2 11" xfId="2029" xr:uid="{00000000-0005-0000-0000-0000AE490000}"/>
    <cellStyle name="Explanatory Text 2 11 2" xfId="19092" xr:uid="{00000000-0005-0000-0000-0000AF490000}"/>
    <cellStyle name="Explanatory Text 2 11 3" xfId="19091" xr:uid="{00000000-0005-0000-0000-0000B0490000}"/>
    <cellStyle name="Explanatory Text 2 12" xfId="2403" xr:uid="{00000000-0005-0000-0000-0000B1490000}"/>
    <cellStyle name="Explanatory Text 2 12 2" xfId="19094" xr:uid="{00000000-0005-0000-0000-0000B2490000}"/>
    <cellStyle name="Explanatory Text 2 12 3" xfId="19093" xr:uid="{00000000-0005-0000-0000-0000B3490000}"/>
    <cellStyle name="Explanatory Text 2 13" xfId="2776" xr:uid="{00000000-0005-0000-0000-0000B4490000}"/>
    <cellStyle name="Explanatory Text 2 13 2" xfId="19096" xr:uid="{00000000-0005-0000-0000-0000B5490000}"/>
    <cellStyle name="Explanatory Text 2 13 3" xfId="19095" xr:uid="{00000000-0005-0000-0000-0000B6490000}"/>
    <cellStyle name="Explanatory Text 2 14" xfId="3150" xr:uid="{00000000-0005-0000-0000-0000B7490000}"/>
    <cellStyle name="Explanatory Text 2 14 2" xfId="19098" xr:uid="{00000000-0005-0000-0000-0000B8490000}"/>
    <cellStyle name="Explanatory Text 2 14 3" xfId="19097" xr:uid="{00000000-0005-0000-0000-0000B9490000}"/>
    <cellStyle name="Explanatory Text 2 15" xfId="3521" xr:uid="{00000000-0005-0000-0000-0000BA490000}"/>
    <cellStyle name="Explanatory Text 2 15 2" xfId="19100" xr:uid="{00000000-0005-0000-0000-0000BB490000}"/>
    <cellStyle name="Explanatory Text 2 15 3" xfId="19099" xr:uid="{00000000-0005-0000-0000-0000BC490000}"/>
    <cellStyle name="Explanatory Text 2 16" xfId="3659" xr:uid="{00000000-0005-0000-0000-0000BD490000}"/>
    <cellStyle name="Explanatory Text 2 16 2" xfId="19102" xr:uid="{00000000-0005-0000-0000-0000BE490000}"/>
    <cellStyle name="Explanatory Text 2 16 3" xfId="19101" xr:uid="{00000000-0005-0000-0000-0000BF490000}"/>
    <cellStyle name="Explanatory Text 2 17" xfId="19103" xr:uid="{00000000-0005-0000-0000-0000C0490000}"/>
    <cellStyle name="Explanatory Text 2 17 2" xfId="19104" xr:uid="{00000000-0005-0000-0000-0000C1490000}"/>
    <cellStyle name="Explanatory Text 2 18" xfId="19105" xr:uid="{00000000-0005-0000-0000-0000C2490000}"/>
    <cellStyle name="Explanatory Text 2 19" xfId="19088" xr:uid="{00000000-0005-0000-0000-0000C3490000}"/>
    <cellStyle name="Explanatory Text 2 2" xfId="140" xr:uid="{00000000-0005-0000-0000-0000C4490000}"/>
    <cellStyle name="Explanatory Text 2 2 2" xfId="168" xr:uid="{00000000-0005-0000-0000-0000C5490000}"/>
    <cellStyle name="Explanatory Text 2 2 2 2" xfId="19108" xr:uid="{00000000-0005-0000-0000-0000C6490000}"/>
    <cellStyle name="Explanatory Text 2 2 2 3" xfId="19107" xr:uid="{00000000-0005-0000-0000-0000C7490000}"/>
    <cellStyle name="Explanatory Text 2 2 3" xfId="332" xr:uid="{00000000-0005-0000-0000-0000C8490000}"/>
    <cellStyle name="Explanatory Text 2 2 3 2" xfId="19110" xr:uid="{00000000-0005-0000-0000-0000C9490000}"/>
    <cellStyle name="Explanatory Text 2 2 3 3" xfId="19109" xr:uid="{00000000-0005-0000-0000-0000CA490000}"/>
    <cellStyle name="Explanatory Text 2 2 4" xfId="2154" xr:uid="{00000000-0005-0000-0000-0000CB490000}"/>
    <cellStyle name="Explanatory Text 2 2 4 2" xfId="19112" xr:uid="{00000000-0005-0000-0000-0000CC490000}"/>
    <cellStyle name="Explanatory Text 2 2 4 3" xfId="19111" xr:uid="{00000000-0005-0000-0000-0000CD490000}"/>
    <cellStyle name="Explanatory Text 2 2 5" xfId="2528" xr:uid="{00000000-0005-0000-0000-0000CE490000}"/>
    <cellStyle name="Explanatory Text 2 2 5 2" xfId="19114" xr:uid="{00000000-0005-0000-0000-0000CF490000}"/>
    <cellStyle name="Explanatory Text 2 2 5 3" xfId="19113" xr:uid="{00000000-0005-0000-0000-0000D0490000}"/>
    <cellStyle name="Explanatory Text 2 2 6" xfId="2900" xr:uid="{00000000-0005-0000-0000-0000D1490000}"/>
    <cellStyle name="Explanatory Text 2 2 6 2" xfId="19116" xr:uid="{00000000-0005-0000-0000-0000D2490000}"/>
    <cellStyle name="Explanatory Text 2 2 6 3" xfId="19115" xr:uid="{00000000-0005-0000-0000-0000D3490000}"/>
    <cellStyle name="Explanatory Text 2 2 7" xfId="3272" xr:uid="{00000000-0005-0000-0000-0000D4490000}"/>
    <cellStyle name="Explanatory Text 2 2 7 2" xfId="19118" xr:uid="{00000000-0005-0000-0000-0000D5490000}"/>
    <cellStyle name="Explanatory Text 2 2 7 3" xfId="19117" xr:uid="{00000000-0005-0000-0000-0000D6490000}"/>
    <cellStyle name="Explanatory Text 2 2 8" xfId="19119" xr:uid="{00000000-0005-0000-0000-0000D7490000}"/>
    <cellStyle name="Explanatory Text 2 2 9" xfId="19106" xr:uid="{00000000-0005-0000-0000-0000D8490000}"/>
    <cellStyle name="Explanatory Text 2 20" xfId="24493" xr:uid="{00000000-0005-0000-0000-0000D9490000}"/>
    <cellStyle name="Explanatory Text 2 3" xfId="305" xr:uid="{00000000-0005-0000-0000-0000DA490000}"/>
    <cellStyle name="Explanatory Text 2 3 2" xfId="1330" xr:uid="{00000000-0005-0000-0000-0000DB490000}"/>
    <cellStyle name="Explanatory Text 2 3 2 2" xfId="19121" xr:uid="{00000000-0005-0000-0000-0000DC490000}"/>
    <cellStyle name="Explanatory Text 2 3 3" xfId="19120" xr:uid="{00000000-0005-0000-0000-0000DD490000}"/>
    <cellStyle name="Explanatory Text 2 4" xfId="466" xr:uid="{00000000-0005-0000-0000-0000DE490000}"/>
    <cellStyle name="Explanatory Text 2 4 2" xfId="19123" xr:uid="{00000000-0005-0000-0000-0000DF490000}"/>
    <cellStyle name="Explanatory Text 2 4 3" xfId="19122" xr:uid="{00000000-0005-0000-0000-0000E0490000}"/>
    <cellStyle name="Explanatory Text 2 5" xfId="600" xr:uid="{00000000-0005-0000-0000-0000E1490000}"/>
    <cellStyle name="Explanatory Text 2 5 2" xfId="19125" xr:uid="{00000000-0005-0000-0000-0000E2490000}"/>
    <cellStyle name="Explanatory Text 2 5 3" xfId="19124" xr:uid="{00000000-0005-0000-0000-0000E3490000}"/>
    <cellStyle name="Explanatory Text 2 6" xfId="750" xr:uid="{00000000-0005-0000-0000-0000E4490000}"/>
    <cellStyle name="Explanatory Text 2 6 2" xfId="19127" xr:uid="{00000000-0005-0000-0000-0000E5490000}"/>
    <cellStyle name="Explanatory Text 2 6 3" xfId="19126" xr:uid="{00000000-0005-0000-0000-0000E6490000}"/>
    <cellStyle name="Explanatory Text 2 7" xfId="751" xr:uid="{00000000-0005-0000-0000-0000E7490000}"/>
    <cellStyle name="Explanatory Text 2 7 2" xfId="19129" xr:uid="{00000000-0005-0000-0000-0000E8490000}"/>
    <cellStyle name="Explanatory Text 2 7 3" xfId="19128" xr:uid="{00000000-0005-0000-0000-0000E9490000}"/>
    <cellStyle name="Explanatory Text 2 8" xfId="881" xr:uid="{00000000-0005-0000-0000-0000EA490000}"/>
    <cellStyle name="Explanatory Text 2 8 2" xfId="1423" xr:uid="{00000000-0005-0000-0000-0000EB490000}"/>
    <cellStyle name="Explanatory Text 2 8 2 2" xfId="19131" xr:uid="{00000000-0005-0000-0000-0000EC490000}"/>
    <cellStyle name="Explanatory Text 2 8 3" xfId="19130" xr:uid="{00000000-0005-0000-0000-0000ED490000}"/>
    <cellStyle name="Explanatory Text 2 9" xfId="976" xr:uid="{00000000-0005-0000-0000-0000EE490000}"/>
    <cellStyle name="Explanatory Text 2 9 2" xfId="1554" xr:uid="{00000000-0005-0000-0000-0000EF490000}"/>
    <cellStyle name="Explanatory Text 2 9 2 2" xfId="19133" xr:uid="{00000000-0005-0000-0000-0000F0490000}"/>
    <cellStyle name="Explanatory Text 2 9 3" xfId="19132" xr:uid="{00000000-0005-0000-0000-0000F1490000}"/>
    <cellStyle name="Explanatory Text 3" xfId="209" xr:uid="{00000000-0005-0000-0000-0000F2490000}"/>
    <cellStyle name="Explanatory Text 3 10" xfId="3702" xr:uid="{00000000-0005-0000-0000-0000F3490000}"/>
    <cellStyle name="Explanatory Text 3 10 2" xfId="19136" xr:uid="{00000000-0005-0000-0000-0000F4490000}"/>
    <cellStyle name="Explanatory Text 3 10 3" xfId="19135" xr:uid="{00000000-0005-0000-0000-0000F5490000}"/>
    <cellStyle name="Explanatory Text 3 11" xfId="19137" xr:uid="{00000000-0005-0000-0000-0000F6490000}"/>
    <cellStyle name="Explanatory Text 3 11 2" xfId="19138" xr:uid="{00000000-0005-0000-0000-0000F7490000}"/>
    <cellStyle name="Explanatory Text 3 12" xfId="19139" xr:uid="{00000000-0005-0000-0000-0000F8490000}"/>
    <cellStyle name="Explanatory Text 3 13" xfId="19134" xr:uid="{00000000-0005-0000-0000-0000F9490000}"/>
    <cellStyle name="Explanatory Text 3 2" xfId="1475" xr:uid="{00000000-0005-0000-0000-0000FA490000}"/>
    <cellStyle name="Explanatory Text 3 2 2" xfId="1820" xr:uid="{00000000-0005-0000-0000-0000FB490000}"/>
    <cellStyle name="Explanatory Text 3 2 2 2" xfId="19142" xr:uid="{00000000-0005-0000-0000-0000FC490000}"/>
    <cellStyle name="Explanatory Text 3 2 2 3" xfId="19141" xr:uid="{00000000-0005-0000-0000-0000FD490000}"/>
    <cellStyle name="Explanatory Text 3 2 3" xfId="2195" xr:uid="{00000000-0005-0000-0000-0000FE490000}"/>
    <cellStyle name="Explanatory Text 3 2 3 2" xfId="19144" xr:uid="{00000000-0005-0000-0000-0000FF490000}"/>
    <cellStyle name="Explanatory Text 3 2 3 3" xfId="19143" xr:uid="{00000000-0005-0000-0000-0000004A0000}"/>
    <cellStyle name="Explanatory Text 3 2 4" xfId="2569" xr:uid="{00000000-0005-0000-0000-0000014A0000}"/>
    <cellStyle name="Explanatory Text 3 2 4 2" xfId="19146" xr:uid="{00000000-0005-0000-0000-0000024A0000}"/>
    <cellStyle name="Explanatory Text 3 2 4 3" xfId="19145" xr:uid="{00000000-0005-0000-0000-0000034A0000}"/>
    <cellStyle name="Explanatory Text 3 2 5" xfId="2941" xr:uid="{00000000-0005-0000-0000-0000044A0000}"/>
    <cellStyle name="Explanatory Text 3 2 5 2" xfId="19148" xr:uid="{00000000-0005-0000-0000-0000054A0000}"/>
    <cellStyle name="Explanatory Text 3 2 5 3" xfId="19147" xr:uid="{00000000-0005-0000-0000-0000064A0000}"/>
    <cellStyle name="Explanatory Text 3 2 6" xfId="3313" xr:uid="{00000000-0005-0000-0000-0000074A0000}"/>
    <cellStyle name="Explanatory Text 3 2 6 2" xfId="19150" xr:uid="{00000000-0005-0000-0000-0000084A0000}"/>
    <cellStyle name="Explanatory Text 3 2 6 3" xfId="19149" xr:uid="{00000000-0005-0000-0000-0000094A0000}"/>
    <cellStyle name="Explanatory Text 3 2 7" xfId="19151" xr:uid="{00000000-0005-0000-0000-00000A4A0000}"/>
    <cellStyle name="Explanatory Text 3 2 8" xfId="19140" xr:uid="{00000000-0005-0000-0000-00000B4A0000}"/>
    <cellStyle name="Explanatory Text 3 3" xfId="1602" xr:uid="{00000000-0005-0000-0000-00000C4A0000}"/>
    <cellStyle name="Explanatory Text 3 3 2" xfId="1897" xr:uid="{00000000-0005-0000-0000-00000D4A0000}"/>
    <cellStyle name="Explanatory Text 3 3 2 2" xfId="19154" xr:uid="{00000000-0005-0000-0000-00000E4A0000}"/>
    <cellStyle name="Explanatory Text 3 3 2 3" xfId="19153" xr:uid="{00000000-0005-0000-0000-00000F4A0000}"/>
    <cellStyle name="Explanatory Text 3 3 3" xfId="2272" xr:uid="{00000000-0005-0000-0000-0000104A0000}"/>
    <cellStyle name="Explanatory Text 3 3 3 2" xfId="19156" xr:uid="{00000000-0005-0000-0000-0000114A0000}"/>
    <cellStyle name="Explanatory Text 3 3 3 3" xfId="19155" xr:uid="{00000000-0005-0000-0000-0000124A0000}"/>
    <cellStyle name="Explanatory Text 3 3 4" xfId="2645" xr:uid="{00000000-0005-0000-0000-0000134A0000}"/>
    <cellStyle name="Explanatory Text 3 3 4 2" xfId="19158" xr:uid="{00000000-0005-0000-0000-0000144A0000}"/>
    <cellStyle name="Explanatory Text 3 3 4 3" xfId="19157" xr:uid="{00000000-0005-0000-0000-0000154A0000}"/>
    <cellStyle name="Explanatory Text 3 3 5" xfId="3018" xr:uid="{00000000-0005-0000-0000-0000164A0000}"/>
    <cellStyle name="Explanatory Text 3 3 5 2" xfId="19160" xr:uid="{00000000-0005-0000-0000-0000174A0000}"/>
    <cellStyle name="Explanatory Text 3 3 5 3" xfId="19159" xr:uid="{00000000-0005-0000-0000-0000184A0000}"/>
    <cellStyle name="Explanatory Text 3 3 6" xfId="3389" xr:uid="{00000000-0005-0000-0000-0000194A0000}"/>
    <cellStyle name="Explanatory Text 3 3 6 2" xfId="19162" xr:uid="{00000000-0005-0000-0000-00001A4A0000}"/>
    <cellStyle name="Explanatory Text 3 3 6 3" xfId="19161" xr:uid="{00000000-0005-0000-0000-00001B4A0000}"/>
    <cellStyle name="Explanatory Text 3 3 7" xfId="19163" xr:uid="{00000000-0005-0000-0000-00001C4A0000}"/>
    <cellStyle name="Explanatory Text 3 3 8" xfId="19152" xr:uid="{00000000-0005-0000-0000-00001D4A0000}"/>
    <cellStyle name="Explanatory Text 3 4" xfId="1741" xr:uid="{00000000-0005-0000-0000-00001E4A0000}"/>
    <cellStyle name="Explanatory Text 3 4 2" xfId="1941" xr:uid="{00000000-0005-0000-0000-00001F4A0000}"/>
    <cellStyle name="Explanatory Text 3 4 2 2" xfId="19166" xr:uid="{00000000-0005-0000-0000-0000204A0000}"/>
    <cellStyle name="Explanatory Text 3 4 2 3" xfId="19165" xr:uid="{00000000-0005-0000-0000-0000214A0000}"/>
    <cellStyle name="Explanatory Text 3 4 3" xfId="2316" xr:uid="{00000000-0005-0000-0000-0000224A0000}"/>
    <cellStyle name="Explanatory Text 3 4 3 2" xfId="19168" xr:uid="{00000000-0005-0000-0000-0000234A0000}"/>
    <cellStyle name="Explanatory Text 3 4 3 3" xfId="19167" xr:uid="{00000000-0005-0000-0000-0000244A0000}"/>
    <cellStyle name="Explanatory Text 3 4 4" xfId="2689" xr:uid="{00000000-0005-0000-0000-0000254A0000}"/>
    <cellStyle name="Explanatory Text 3 4 4 2" xfId="19170" xr:uid="{00000000-0005-0000-0000-0000264A0000}"/>
    <cellStyle name="Explanatory Text 3 4 4 3" xfId="19169" xr:uid="{00000000-0005-0000-0000-0000274A0000}"/>
    <cellStyle name="Explanatory Text 3 4 5" xfId="3062" xr:uid="{00000000-0005-0000-0000-0000284A0000}"/>
    <cellStyle name="Explanatory Text 3 4 5 2" xfId="19172" xr:uid="{00000000-0005-0000-0000-0000294A0000}"/>
    <cellStyle name="Explanatory Text 3 4 5 3" xfId="19171" xr:uid="{00000000-0005-0000-0000-00002A4A0000}"/>
    <cellStyle name="Explanatory Text 3 4 6" xfId="3433" xr:uid="{00000000-0005-0000-0000-00002B4A0000}"/>
    <cellStyle name="Explanatory Text 3 4 6 2" xfId="19174" xr:uid="{00000000-0005-0000-0000-00002C4A0000}"/>
    <cellStyle name="Explanatory Text 3 4 6 3" xfId="19173" xr:uid="{00000000-0005-0000-0000-00002D4A0000}"/>
    <cellStyle name="Explanatory Text 3 4 7" xfId="19175" xr:uid="{00000000-0005-0000-0000-00002E4A0000}"/>
    <cellStyle name="Explanatory Text 3 4 8" xfId="19164" xr:uid="{00000000-0005-0000-0000-00002F4A0000}"/>
    <cellStyle name="Explanatory Text 3 5" xfId="2076" xr:uid="{00000000-0005-0000-0000-0000304A0000}"/>
    <cellStyle name="Explanatory Text 3 5 2" xfId="19177" xr:uid="{00000000-0005-0000-0000-0000314A0000}"/>
    <cellStyle name="Explanatory Text 3 5 3" xfId="19176" xr:uid="{00000000-0005-0000-0000-0000324A0000}"/>
    <cellStyle name="Explanatory Text 3 6" xfId="2450" xr:uid="{00000000-0005-0000-0000-0000334A0000}"/>
    <cellStyle name="Explanatory Text 3 6 2" xfId="19179" xr:uid="{00000000-0005-0000-0000-0000344A0000}"/>
    <cellStyle name="Explanatory Text 3 6 3" xfId="19178" xr:uid="{00000000-0005-0000-0000-0000354A0000}"/>
    <cellStyle name="Explanatory Text 3 7" xfId="2822" xr:uid="{00000000-0005-0000-0000-0000364A0000}"/>
    <cellStyle name="Explanatory Text 3 7 2" xfId="19181" xr:uid="{00000000-0005-0000-0000-0000374A0000}"/>
    <cellStyle name="Explanatory Text 3 7 3" xfId="19180" xr:uid="{00000000-0005-0000-0000-0000384A0000}"/>
    <cellStyle name="Explanatory Text 3 8" xfId="3193" xr:uid="{00000000-0005-0000-0000-0000394A0000}"/>
    <cellStyle name="Explanatory Text 3 8 2" xfId="19183" xr:uid="{00000000-0005-0000-0000-00003A4A0000}"/>
    <cellStyle name="Explanatory Text 3 8 3" xfId="19182" xr:uid="{00000000-0005-0000-0000-00003B4A0000}"/>
    <cellStyle name="Explanatory Text 3 9" xfId="3566" xr:uid="{00000000-0005-0000-0000-00003C4A0000}"/>
    <cellStyle name="Explanatory Text 3 9 2" xfId="19185" xr:uid="{00000000-0005-0000-0000-00003D4A0000}"/>
    <cellStyle name="Explanatory Text 3 9 3" xfId="19184" xr:uid="{00000000-0005-0000-0000-00003E4A0000}"/>
    <cellStyle name="Explanatory Text 4" xfId="262" xr:uid="{00000000-0005-0000-0000-00003F4A0000}"/>
    <cellStyle name="Explanatory Text 4 10" xfId="3746" xr:uid="{00000000-0005-0000-0000-0000404A0000}"/>
    <cellStyle name="Explanatory Text 4 10 2" xfId="19188" xr:uid="{00000000-0005-0000-0000-0000414A0000}"/>
    <cellStyle name="Explanatory Text 4 10 3" xfId="19187" xr:uid="{00000000-0005-0000-0000-0000424A0000}"/>
    <cellStyle name="Explanatory Text 4 11" xfId="1291" xr:uid="{00000000-0005-0000-0000-0000434A0000}"/>
    <cellStyle name="Explanatory Text 4 11 2" xfId="19190" xr:uid="{00000000-0005-0000-0000-0000444A0000}"/>
    <cellStyle name="Explanatory Text 4 11 3" xfId="19189" xr:uid="{00000000-0005-0000-0000-0000454A0000}"/>
    <cellStyle name="Explanatory Text 4 12" xfId="19191" xr:uid="{00000000-0005-0000-0000-0000464A0000}"/>
    <cellStyle name="Explanatory Text 4 13" xfId="19186" xr:uid="{00000000-0005-0000-0000-0000474A0000}"/>
    <cellStyle name="Explanatory Text 4 2" xfId="1520" xr:uid="{00000000-0005-0000-0000-0000484A0000}"/>
    <cellStyle name="Explanatory Text 4 2 2" xfId="19193" xr:uid="{00000000-0005-0000-0000-0000494A0000}"/>
    <cellStyle name="Explanatory Text 4 2 3" xfId="19192" xr:uid="{00000000-0005-0000-0000-00004A4A0000}"/>
    <cellStyle name="Explanatory Text 4 3" xfId="1645" xr:uid="{00000000-0005-0000-0000-00004B4A0000}"/>
    <cellStyle name="Explanatory Text 4 3 2" xfId="19195" xr:uid="{00000000-0005-0000-0000-00004C4A0000}"/>
    <cellStyle name="Explanatory Text 4 3 3" xfId="19194" xr:uid="{00000000-0005-0000-0000-00004D4A0000}"/>
    <cellStyle name="Explanatory Text 4 4" xfId="1781" xr:uid="{00000000-0005-0000-0000-00004E4A0000}"/>
    <cellStyle name="Explanatory Text 4 4 2" xfId="19197" xr:uid="{00000000-0005-0000-0000-00004F4A0000}"/>
    <cellStyle name="Explanatory Text 4 4 3" xfId="19196" xr:uid="{00000000-0005-0000-0000-0000504A0000}"/>
    <cellStyle name="Explanatory Text 4 5" xfId="2116" xr:uid="{00000000-0005-0000-0000-0000514A0000}"/>
    <cellStyle name="Explanatory Text 4 5 2" xfId="19199" xr:uid="{00000000-0005-0000-0000-0000524A0000}"/>
    <cellStyle name="Explanatory Text 4 5 3" xfId="19198" xr:uid="{00000000-0005-0000-0000-0000534A0000}"/>
    <cellStyle name="Explanatory Text 4 6" xfId="2490" xr:uid="{00000000-0005-0000-0000-0000544A0000}"/>
    <cellStyle name="Explanatory Text 4 6 2" xfId="19201" xr:uid="{00000000-0005-0000-0000-0000554A0000}"/>
    <cellStyle name="Explanatory Text 4 6 3" xfId="19200" xr:uid="{00000000-0005-0000-0000-0000564A0000}"/>
    <cellStyle name="Explanatory Text 4 7" xfId="2862" xr:uid="{00000000-0005-0000-0000-0000574A0000}"/>
    <cellStyle name="Explanatory Text 4 7 2" xfId="19203" xr:uid="{00000000-0005-0000-0000-0000584A0000}"/>
    <cellStyle name="Explanatory Text 4 7 3" xfId="19202" xr:uid="{00000000-0005-0000-0000-0000594A0000}"/>
    <cellStyle name="Explanatory Text 4 8" xfId="3233" xr:uid="{00000000-0005-0000-0000-00005A4A0000}"/>
    <cellStyle name="Explanatory Text 4 8 2" xfId="19205" xr:uid="{00000000-0005-0000-0000-00005B4A0000}"/>
    <cellStyle name="Explanatory Text 4 8 3" xfId="19204" xr:uid="{00000000-0005-0000-0000-00005C4A0000}"/>
    <cellStyle name="Explanatory Text 4 9" xfId="3609" xr:uid="{00000000-0005-0000-0000-00005D4A0000}"/>
    <cellStyle name="Explanatory Text 4 9 2" xfId="19207" xr:uid="{00000000-0005-0000-0000-00005E4A0000}"/>
    <cellStyle name="Explanatory Text 4 9 3" xfId="19206" xr:uid="{00000000-0005-0000-0000-00005F4A0000}"/>
    <cellStyle name="Explanatory Text 5" xfId="467" xr:uid="{00000000-0005-0000-0000-0000604A0000}"/>
    <cellStyle name="Explanatory Text 5 2" xfId="1869" xr:uid="{00000000-0005-0000-0000-0000614A0000}"/>
    <cellStyle name="Explanatory Text 5 2 2" xfId="19210" xr:uid="{00000000-0005-0000-0000-0000624A0000}"/>
    <cellStyle name="Explanatory Text 5 2 3" xfId="19209" xr:uid="{00000000-0005-0000-0000-0000634A0000}"/>
    <cellStyle name="Explanatory Text 5 3" xfId="2244" xr:uid="{00000000-0005-0000-0000-0000644A0000}"/>
    <cellStyle name="Explanatory Text 5 3 2" xfId="19212" xr:uid="{00000000-0005-0000-0000-0000654A0000}"/>
    <cellStyle name="Explanatory Text 5 3 3" xfId="19211" xr:uid="{00000000-0005-0000-0000-0000664A0000}"/>
    <cellStyle name="Explanatory Text 5 4" xfId="2618" xr:uid="{00000000-0005-0000-0000-0000674A0000}"/>
    <cellStyle name="Explanatory Text 5 4 2" xfId="19214" xr:uid="{00000000-0005-0000-0000-0000684A0000}"/>
    <cellStyle name="Explanatory Text 5 4 3" xfId="19213" xr:uid="{00000000-0005-0000-0000-0000694A0000}"/>
    <cellStyle name="Explanatory Text 5 5" xfId="2990" xr:uid="{00000000-0005-0000-0000-00006A4A0000}"/>
    <cellStyle name="Explanatory Text 5 5 2" xfId="19216" xr:uid="{00000000-0005-0000-0000-00006B4A0000}"/>
    <cellStyle name="Explanatory Text 5 5 3" xfId="19215" xr:uid="{00000000-0005-0000-0000-00006C4A0000}"/>
    <cellStyle name="Explanatory Text 5 6" xfId="3362" xr:uid="{00000000-0005-0000-0000-00006D4A0000}"/>
    <cellStyle name="Explanatory Text 5 6 2" xfId="19218" xr:uid="{00000000-0005-0000-0000-00006E4A0000}"/>
    <cellStyle name="Explanatory Text 5 6 3" xfId="19217" xr:uid="{00000000-0005-0000-0000-00006F4A0000}"/>
    <cellStyle name="Explanatory Text 5 7" xfId="19219" xr:uid="{00000000-0005-0000-0000-0000704A0000}"/>
    <cellStyle name="Explanatory Text 5 7 2" xfId="19220" xr:uid="{00000000-0005-0000-0000-0000714A0000}"/>
    <cellStyle name="Explanatory Text 5 8" xfId="19221" xr:uid="{00000000-0005-0000-0000-0000724A0000}"/>
    <cellStyle name="Explanatory Text 5 9" xfId="19208" xr:uid="{00000000-0005-0000-0000-0000734A0000}"/>
    <cellStyle name="Explanatory Text 6" xfId="468" xr:uid="{00000000-0005-0000-0000-0000744A0000}"/>
    <cellStyle name="Explanatory Text 6 10" xfId="19222" xr:uid="{00000000-0005-0000-0000-0000754A0000}"/>
    <cellStyle name="Explanatory Text 6 2" xfId="1996" xr:uid="{00000000-0005-0000-0000-0000764A0000}"/>
    <cellStyle name="Explanatory Text 6 2 2" xfId="19224" xr:uid="{00000000-0005-0000-0000-0000774A0000}"/>
    <cellStyle name="Explanatory Text 6 2 3" xfId="19223" xr:uid="{00000000-0005-0000-0000-0000784A0000}"/>
    <cellStyle name="Explanatory Text 6 3" xfId="2371" xr:uid="{00000000-0005-0000-0000-0000794A0000}"/>
    <cellStyle name="Explanatory Text 6 3 2" xfId="19226" xr:uid="{00000000-0005-0000-0000-00007A4A0000}"/>
    <cellStyle name="Explanatory Text 6 3 3" xfId="19225" xr:uid="{00000000-0005-0000-0000-00007B4A0000}"/>
    <cellStyle name="Explanatory Text 6 4" xfId="2744" xr:uid="{00000000-0005-0000-0000-00007C4A0000}"/>
    <cellStyle name="Explanatory Text 6 4 2" xfId="19228" xr:uid="{00000000-0005-0000-0000-00007D4A0000}"/>
    <cellStyle name="Explanatory Text 6 4 3" xfId="19227" xr:uid="{00000000-0005-0000-0000-00007E4A0000}"/>
    <cellStyle name="Explanatory Text 6 5" xfId="3117" xr:uid="{00000000-0005-0000-0000-00007F4A0000}"/>
    <cellStyle name="Explanatory Text 6 5 2" xfId="19230" xr:uid="{00000000-0005-0000-0000-0000804A0000}"/>
    <cellStyle name="Explanatory Text 6 5 3" xfId="19229" xr:uid="{00000000-0005-0000-0000-0000814A0000}"/>
    <cellStyle name="Explanatory Text 6 6" xfId="3488" xr:uid="{00000000-0005-0000-0000-0000824A0000}"/>
    <cellStyle name="Explanatory Text 6 6 2" xfId="19232" xr:uid="{00000000-0005-0000-0000-0000834A0000}"/>
    <cellStyle name="Explanatory Text 6 6 3" xfId="19231" xr:uid="{00000000-0005-0000-0000-0000844A0000}"/>
    <cellStyle name="Explanatory Text 6 7" xfId="3794" xr:uid="{00000000-0005-0000-0000-0000854A0000}"/>
    <cellStyle name="Explanatory Text 6 7 2" xfId="19234" xr:uid="{00000000-0005-0000-0000-0000864A0000}"/>
    <cellStyle name="Explanatory Text 6 7 3" xfId="19233" xr:uid="{00000000-0005-0000-0000-0000874A0000}"/>
    <cellStyle name="Explanatory Text 6 8" xfId="19235" xr:uid="{00000000-0005-0000-0000-0000884A0000}"/>
    <cellStyle name="Explanatory Text 6 8 2" xfId="19236" xr:uid="{00000000-0005-0000-0000-0000894A0000}"/>
    <cellStyle name="Explanatory Text 6 9" xfId="19237" xr:uid="{00000000-0005-0000-0000-00008A4A0000}"/>
    <cellStyle name="Explanatory Text 7" xfId="469" xr:uid="{00000000-0005-0000-0000-00008B4A0000}"/>
    <cellStyle name="Explanatory Text 7 2" xfId="19239" xr:uid="{00000000-0005-0000-0000-00008C4A0000}"/>
    <cellStyle name="Explanatory Text 7 3" xfId="19238" xr:uid="{00000000-0005-0000-0000-00008D4A0000}"/>
    <cellStyle name="Explanatory Text 8" xfId="601" xr:uid="{00000000-0005-0000-0000-00008E4A0000}"/>
    <cellStyle name="Explanatory Text 8 2" xfId="19241" xr:uid="{00000000-0005-0000-0000-00008F4A0000}"/>
    <cellStyle name="Explanatory Text 8 3" xfId="19240" xr:uid="{00000000-0005-0000-0000-0000904A0000}"/>
    <cellStyle name="Explanatory Text 9" xfId="602" xr:uid="{00000000-0005-0000-0000-0000914A0000}"/>
    <cellStyle name="Explanatory Text 9 2" xfId="19243" xr:uid="{00000000-0005-0000-0000-0000924A0000}"/>
    <cellStyle name="Explanatory Text 9 3" xfId="19242" xr:uid="{00000000-0005-0000-0000-0000934A0000}"/>
    <cellStyle name="F2" xfId="24778" xr:uid="{00000000-0005-0000-0000-0000944A0000}"/>
    <cellStyle name="F3" xfId="24779" xr:uid="{00000000-0005-0000-0000-0000954A0000}"/>
    <cellStyle name="F4" xfId="24780" xr:uid="{00000000-0005-0000-0000-0000964A0000}"/>
    <cellStyle name="F5" xfId="24781" xr:uid="{00000000-0005-0000-0000-0000974A0000}"/>
    <cellStyle name="F6" xfId="24782" xr:uid="{00000000-0005-0000-0000-0000984A0000}"/>
    <cellStyle name="F7" xfId="24783" xr:uid="{00000000-0005-0000-0000-0000994A0000}"/>
    <cellStyle name="F8" xfId="24784" xr:uid="{00000000-0005-0000-0000-00009A4A0000}"/>
    <cellStyle name="Fixed" xfId="24785" xr:uid="{00000000-0005-0000-0000-00009B4A0000}"/>
    <cellStyle name="Good 10" xfId="752" xr:uid="{00000000-0005-0000-0000-00009C4A0000}"/>
    <cellStyle name="Good 10 2" xfId="19246" xr:uid="{00000000-0005-0000-0000-00009D4A0000}"/>
    <cellStyle name="Good 10 3" xfId="19245" xr:uid="{00000000-0005-0000-0000-00009E4A0000}"/>
    <cellStyle name="Good 11" xfId="753" xr:uid="{00000000-0005-0000-0000-00009F4A0000}"/>
    <cellStyle name="Good 11 2" xfId="19248" xr:uid="{00000000-0005-0000-0000-0000A04A0000}"/>
    <cellStyle name="Good 11 3" xfId="19247" xr:uid="{00000000-0005-0000-0000-0000A14A0000}"/>
    <cellStyle name="Good 12" xfId="882" xr:uid="{00000000-0005-0000-0000-0000A24A0000}"/>
    <cellStyle name="Good 12 2" xfId="19249" xr:uid="{00000000-0005-0000-0000-0000A34A0000}"/>
    <cellStyle name="Good 13" xfId="883" xr:uid="{00000000-0005-0000-0000-0000A44A0000}"/>
    <cellStyle name="Good 13 2" xfId="19244" xr:uid="{00000000-0005-0000-0000-0000A54A0000}"/>
    <cellStyle name="Good 14" xfId="977" xr:uid="{00000000-0005-0000-0000-0000A64A0000}"/>
    <cellStyle name="Good 2" xfId="97" xr:uid="{00000000-0005-0000-0000-0000A74A0000}"/>
    <cellStyle name="Good 2 10" xfId="1695" xr:uid="{00000000-0005-0000-0000-0000A84A0000}"/>
    <cellStyle name="Good 2 10 2" xfId="19252" xr:uid="{00000000-0005-0000-0000-0000A94A0000}"/>
    <cellStyle name="Good 2 10 3" xfId="19251" xr:uid="{00000000-0005-0000-0000-0000AA4A0000}"/>
    <cellStyle name="Good 2 11" xfId="2030" xr:uid="{00000000-0005-0000-0000-0000AB4A0000}"/>
    <cellStyle name="Good 2 11 2" xfId="19254" xr:uid="{00000000-0005-0000-0000-0000AC4A0000}"/>
    <cellStyle name="Good 2 11 3" xfId="19253" xr:uid="{00000000-0005-0000-0000-0000AD4A0000}"/>
    <cellStyle name="Good 2 12" xfId="2404" xr:uid="{00000000-0005-0000-0000-0000AE4A0000}"/>
    <cellStyle name="Good 2 12 2" xfId="19256" xr:uid="{00000000-0005-0000-0000-0000AF4A0000}"/>
    <cellStyle name="Good 2 12 3" xfId="19255" xr:uid="{00000000-0005-0000-0000-0000B04A0000}"/>
    <cellStyle name="Good 2 13" xfId="2777" xr:uid="{00000000-0005-0000-0000-0000B14A0000}"/>
    <cellStyle name="Good 2 13 2" xfId="19258" xr:uid="{00000000-0005-0000-0000-0000B24A0000}"/>
    <cellStyle name="Good 2 13 3" xfId="19257" xr:uid="{00000000-0005-0000-0000-0000B34A0000}"/>
    <cellStyle name="Good 2 14" xfId="3151" xr:uid="{00000000-0005-0000-0000-0000B44A0000}"/>
    <cellStyle name="Good 2 14 2" xfId="19260" xr:uid="{00000000-0005-0000-0000-0000B54A0000}"/>
    <cellStyle name="Good 2 14 3" xfId="19259" xr:uid="{00000000-0005-0000-0000-0000B64A0000}"/>
    <cellStyle name="Good 2 15" xfId="3522" xr:uid="{00000000-0005-0000-0000-0000B74A0000}"/>
    <cellStyle name="Good 2 15 2" xfId="19262" xr:uid="{00000000-0005-0000-0000-0000B84A0000}"/>
    <cellStyle name="Good 2 15 3" xfId="19261" xr:uid="{00000000-0005-0000-0000-0000B94A0000}"/>
    <cellStyle name="Good 2 16" xfId="3660" xr:uid="{00000000-0005-0000-0000-0000BA4A0000}"/>
    <cellStyle name="Good 2 16 2" xfId="19264" xr:uid="{00000000-0005-0000-0000-0000BB4A0000}"/>
    <cellStyle name="Good 2 16 3" xfId="19263" xr:uid="{00000000-0005-0000-0000-0000BC4A0000}"/>
    <cellStyle name="Good 2 17" xfId="19265" xr:uid="{00000000-0005-0000-0000-0000BD4A0000}"/>
    <cellStyle name="Good 2 17 2" xfId="19266" xr:uid="{00000000-0005-0000-0000-0000BE4A0000}"/>
    <cellStyle name="Good 2 18" xfId="19267" xr:uid="{00000000-0005-0000-0000-0000BF4A0000}"/>
    <cellStyle name="Good 2 19" xfId="19250" xr:uid="{00000000-0005-0000-0000-0000C04A0000}"/>
    <cellStyle name="Good 2 2" xfId="141" xr:uid="{00000000-0005-0000-0000-0000C14A0000}"/>
    <cellStyle name="Good 2 2 2" xfId="158" xr:uid="{00000000-0005-0000-0000-0000C24A0000}"/>
    <cellStyle name="Good 2 2 2 2" xfId="19270" xr:uid="{00000000-0005-0000-0000-0000C34A0000}"/>
    <cellStyle name="Good 2 2 2 3" xfId="19269" xr:uid="{00000000-0005-0000-0000-0000C44A0000}"/>
    <cellStyle name="Good 2 2 3" xfId="322" xr:uid="{00000000-0005-0000-0000-0000C54A0000}"/>
    <cellStyle name="Good 2 2 3 2" xfId="19272" xr:uid="{00000000-0005-0000-0000-0000C64A0000}"/>
    <cellStyle name="Good 2 2 3 3" xfId="19271" xr:uid="{00000000-0005-0000-0000-0000C74A0000}"/>
    <cellStyle name="Good 2 2 4" xfId="2145" xr:uid="{00000000-0005-0000-0000-0000C84A0000}"/>
    <cellStyle name="Good 2 2 4 2" xfId="19274" xr:uid="{00000000-0005-0000-0000-0000C94A0000}"/>
    <cellStyle name="Good 2 2 4 3" xfId="19273" xr:uid="{00000000-0005-0000-0000-0000CA4A0000}"/>
    <cellStyle name="Good 2 2 5" xfId="2519" xr:uid="{00000000-0005-0000-0000-0000CB4A0000}"/>
    <cellStyle name="Good 2 2 5 2" xfId="19276" xr:uid="{00000000-0005-0000-0000-0000CC4A0000}"/>
    <cellStyle name="Good 2 2 5 3" xfId="19275" xr:uid="{00000000-0005-0000-0000-0000CD4A0000}"/>
    <cellStyle name="Good 2 2 6" xfId="2891" xr:uid="{00000000-0005-0000-0000-0000CE4A0000}"/>
    <cellStyle name="Good 2 2 6 2" xfId="19278" xr:uid="{00000000-0005-0000-0000-0000CF4A0000}"/>
    <cellStyle name="Good 2 2 6 3" xfId="19277" xr:uid="{00000000-0005-0000-0000-0000D04A0000}"/>
    <cellStyle name="Good 2 2 7" xfId="3262" xr:uid="{00000000-0005-0000-0000-0000D14A0000}"/>
    <cellStyle name="Good 2 2 7 2" xfId="19280" xr:uid="{00000000-0005-0000-0000-0000D24A0000}"/>
    <cellStyle name="Good 2 2 7 3" xfId="19279" xr:uid="{00000000-0005-0000-0000-0000D34A0000}"/>
    <cellStyle name="Good 2 2 8" xfId="19281" xr:uid="{00000000-0005-0000-0000-0000D44A0000}"/>
    <cellStyle name="Good 2 2 9" xfId="19268" xr:uid="{00000000-0005-0000-0000-0000D54A0000}"/>
    <cellStyle name="Good 2 20" xfId="24494" xr:uid="{00000000-0005-0000-0000-0000D64A0000}"/>
    <cellStyle name="Good 2 3" xfId="306" xr:uid="{00000000-0005-0000-0000-0000D74A0000}"/>
    <cellStyle name="Good 2 3 2" xfId="1321" xr:uid="{00000000-0005-0000-0000-0000D84A0000}"/>
    <cellStyle name="Good 2 3 2 2" xfId="19283" xr:uid="{00000000-0005-0000-0000-0000D94A0000}"/>
    <cellStyle name="Good 2 3 3" xfId="19282" xr:uid="{00000000-0005-0000-0000-0000DA4A0000}"/>
    <cellStyle name="Good 2 4" xfId="470" xr:uid="{00000000-0005-0000-0000-0000DB4A0000}"/>
    <cellStyle name="Good 2 4 2" xfId="19285" xr:uid="{00000000-0005-0000-0000-0000DC4A0000}"/>
    <cellStyle name="Good 2 4 3" xfId="19284" xr:uid="{00000000-0005-0000-0000-0000DD4A0000}"/>
    <cellStyle name="Good 2 5" xfId="603" xr:uid="{00000000-0005-0000-0000-0000DE4A0000}"/>
    <cellStyle name="Good 2 5 2" xfId="19287" xr:uid="{00000000-0005-0000-0000-0000DF4A0000}"/>
    <cellStyle name="Good 2 5 3" xfId="19286" xr:uid="{00000000-0005-0000-0000-0000E04A0000}"/>
    <cellStyle name="Good 2 6" xfId="754" xr:uid="{00000000-0005-0000-0000-0000E14A0000}"/>
    <cellStyle name="Good 2 6 2" xfId="19289" xr:uid="{00000000-0005-0000-0000-0000E24A0000}"/>
    <cellStyle name="Good 2 6 3" xfId="19288" xr:uid="{00000000-0005-0000-0000-0000E34A0000}"/>
    <cellStyle name="Good 2 7" xfId="755" xr:uid="{00000000-0005-0000-0000-0000E44A0000}"/>
    <cellStyle name="Good 2 7 2" xfId="19291" xr:uid="{00000000-0005-0000-0000-0000E54A0000}"/>
    <cellStyle name="Good 2 7 3" xfId="19290" xr:uid="{00000000-0005-0000-0000-0000E64A0000}"/>
    <cellStyle name="Good 2 8" xfId="884" xr:uid="{00000000-0005-0000-0000-0000E74A0000}"/>
    <cellStyle name="Good 2 8 2" xfId="1424" xr:uid="{00000000-0005-0000-0000-0000E84A0000}"/>
    <cellStyle name="Good 2 8 2 2" xfId="19293" xr:uid="{00000000-0005-0000-0000-0000E94A0000}"/>
    <cellStyle name="Good 2 8 3" xfId="19292" xr:uid="{00000000-0005-0000-0000-0000EA4A0000}"/>
    <cellStyle name="Good 2 9" xfId="978" xr:uid="{00000000-0005-0000-0000-0000EB4A0000}"/>
    <cellStyle name="Good 2 9 2" xfId="1553" xr:uid="{00000000-0005-0000-0000-0000EC4A0000}"/>
    <cellStyle name="Good 2 9 2 2" xfId="19295" xr:uid="{00000000-0005-0000-0000-0000ED4A0000}"/>
    <cellStyle name="Good 2 9 3" xfId="19294" xr:uid="{00000000-0005-0000-0000-0000EE4A0000}"/>
    <cellStyle name="Good 3" xfId="199" xr:uid="{00000000-0005-0000-0000-0000EF4A0000}"/>
    <cellStyle name="Good 3 10" xfId="3703" xr:uid="{00000000-0005-0000-0000-0000F04A0000}"/>
    <cellStyle name="Good 3 10 2" xfId="19298" xr:uid="{00000000-0005-0000-0000-0000F14A0000}"/>
    <cellStyle name="Good 3 10 3" xfId="19297" xr:uid="{00000000-0005-0000-0000-0000F24A0000}"/>
    <cellStyle name="Good 3 11" xfId="19299" xr:uid="{00000000-0005-0000-0000-0000F34A0000}"/>
    <cellStyle name="Good 3 11 2" xfId="19300" xr:uid="{00000000-0005-0000-0000-0000F44A0000}"/>
    <cellStyle name="Good 3 12" xfId="19301" xr:uid="{00000000-0005-0000-0000-0000F54A0000}"/>
    <cellStyle name="Good 3 13" xfId="19296" xr:uid="{00000000-0005-0000-0000-0000F64A0000}"/>
    <cellStyle name="Good 3 2" xfId="1476" xr:uid="{00000000-0005-0000-0000-0000F74A0000}"/>
    <cellStyle name="Good 3 2 2" xfId="1810" xr:uid="{00000000-0005-0000-0000-0000F84A0000}"/>
    <cellStyle name="Good 3 2 2 2" xfId="19304" xr:uid="{00000000-0005-0000-0000-0000F94A0000}"/>
    <cellStyle name="Good 3 2 2 3" xfId="19303" xr:uid="{00000000-0005-0000-0000-0000FA4A0000}"/>
    <cellStyle name="Good 3 2 3" xfId="2185" xr:uid="{00000000-0005-0000-0000-0000FB4A0000}"/>
    <cellStyle name="Good 3 2 3 2" xfId="19306" xr:uid="{00000000-0005-0000-0000-0000FC4A0000}"/>
    <cellStyle name="Good 3 2 3 3" xfId="19305" xr:uid="{00000000-0005-0000-0000-0000FD4A0000}"/>
    <cellStyle name="Good 3 2 4" xfId="2559" xr:uid="{00000000-0005-0000-0000-0000FE4A0000}"/>
    <cellStyle name="Good 3 2 4 2" xfId="19308" xr:uid="{00000000-0005-0000-0000-0000FF4A0000}"/>
    <cellStyle name="Good 3 2 4 3" xfId="19307" xr:uid="{00000000-0005-0000-0000-0000004B0000}"/>
    <cellStyle name="Good 3 2 5" xfId="2931" xr:uid="{00000000-0005-0000-0000-0000014B0000}"/>
    <cellStyle name="Good 3 2 5 2" xfId="19310" xr:uid="{00000000-0005-0000-0000-0000024B0000}"/>
    <cellStyle name="Good 3 2 5 3" xfId="19309" xr:uid="{00000000-0005-0000-0000-0000034B0000}"/>
    <cellStyle name="Good 3 2 6" xfId="3303" xr:uid="{00000000-0005-0000-0000-0000044B0000}"/>
    <cellStyle name="Good 3 2 6 2" xfId="19312" xr:uid="{00000000-0005-0000-0000-0000054B0000}"/>
    <cellStyle name="Good 3 2 6 3" xfId="19311" xr:uid="{00000000-0005-0000-0000-0000064B0000}"/>
    <cellStyle name="Good 3 2 7" xfId="19313" xr:uid="{00000000-0005-0000-0000-0000074B0000}"/>
    <cellStyle name="Good 3 2 8" xfId="19302" xr:uid="{00000000-0005-0000-0000-0000084B0000}"/>
    <cellStyle name="Good 3 3" xfId="1603" xr:uid="{00000000-0005-0000-0000-0000094B0000}"/>
    <cellStyle name="Good 3 3 2" xfId="1887" xr:uid="{00000000-0005-0000-0000-00000A4B0000}"/>
    <cellStyle name="Good 3 3 2 2" xfId="19316" xr:uid="{00000000-0005-0000-0000-00000B4B0000}"/>
    <cellStyle name="Good 3 3 2 3" xfId="19315" xr:uid="{00000000-0005-0000-0000-00000C4B0000}"/>
    <cellStyle name="Good 3 3 3" xfId="2262" xr:uid="{00000000-0005-0000-0000-00000D4B0000}"/>
    <cellStyle name="Good 3 3 3 2" xfId="19318" xr:uid="{00000000-0005-0000-0000-00000E4B0000}"/>
    <cellStyle name="Good 3 3 3 3" xfId="19317" xr:uid="{00000000-0005-0000-0000-00000F4B0000}"/>
    <cellStyle name="Good 3 3 4" xfId="2635" xr:uid="{00000000-0005-0000-0000-0000104B0000}"/>
    <cellStyle name="Good 3 3 4 2" xfId="19320" xr:uid="{00000000-0005-0000-0000-0000114B0000}"/>
    <cellStyle name="Good 3 3 4 3" xfId="19319" xr:uid="{00000000-0005-0000-0000-0000124B0000}"/>
    <cellStyle name="Good 3 3 5" xfId="3008" xr:uid="{00000000-0005-0000-0000-0000134B0000}"/>
    <cellStyle name="Good 3 3 5 2" xfId="19322" xr:uid="{00000000-0005-0000-0000-0000144B0000}"/>
    <cellStyle name="Good 3 3 5 3" xfId="19321" xr:uid="{00000000-0005-0000-0000-0000154B0000}"/>
    <cellStyle name="Good 3 3 6" xfId="3379" xr:uid="{00000000-0005-0000-0000-0000164B0000}"/>
    <cellStyle name="Good 3 3 6 2" xfId="19324" xr:uid="{00000000-0005-0000-0000-0000174B0000}"/>
    <cellStyle name="Good 3 3 6 3" xfId="19323" xr:uid="{00000000-0005-0000-0000-0000184B0000}"/>
    <cellStyle name="Good 3 3 7" xfId="19325" xr:uid="{00000000-0005-0000-0000-0000194B0000}"/>
    <cellStyle name="Good 3 3 8" xfId="19314" xr:uid="{00000000-0005-0000-0000-00001A4B0000}"/>
    <cellStyle name="Good 3 4" xfId="1742" xr:uid="{00000000-0005-0000-0000-00001B4B0000}"/>
    <cellStyle name="Good 3 4 2" xfId="1931" xr:uid="{00000000-0005-0000-0000-00001C4B0000}"/>
    <cellStyle name="Good 3 4 2 2" xfId="19328" xr:uid="{00000000-0005-0000-0000-00001D4B0000}"/>
    <cellStyle name="Good 3 4 2 3" xfId="19327" xr:uid="{00000000-0005-0000-0000-00001E4B0000}"/>
    <cellStyle name="Good 3 4 3" xfId="2306" xr:uid="{00000000-0005-0000-0000-00001F4B0000}"/>
    <cellStyle name="Good 3 4 3 2" xfId="19330" xr:uid="{00000000-0005-0000-0000-0000204B0000}"/>
    <cellStyle name="Good 3 4 3 3" xfId="19329" xr:uid="{00000000-0005-0000-0000-0000214B0000}"/>
    <cellStyle name="Good 3 4 4" xfId="2679" xr:uid="{00000000-0005-0000-0000-0000224B0000}"/>
    <cellStyle name="Good 3 4 4 2" xfId="19332" xr:uid="{00000000-0005-0000-0000-0000234B0000}"/>
    <cellStyle name="Good 3 4 4 3" xfId="19331" xr:uid="{00000000-0005-0000-0000-0000244B0000}"/>
    <cellStyle name="Good 3 4 5" xfId="3052" xr:uid="{00000000-0005-0000-0000-0000254B0000}"/>
    <cellStyle name="Good 3 4 5 2" xfId="19334" xr:uid="{00000000-0005-0000-0000-0000264B0000}"/>
    <cellStyle name="Good 3 4 5 3" xfId="19333" xr:uid="{00000000-0005-0000-0000-0000274B0000}"/>
    <cellStyle name="Good 3 4 6" xfId="3423" xr:uid="{00000000-0005-0000-0000-0000284B0000}"/>
    <cellStyle name="Good 3 4 6 2" xfId="19336" xr:uid="{00000000-0005-0000-0000-0000294B0000}"/>
    <cellStyle name="Good 3 4 6 3" xfId="19335" xr:uid="{00000000-0005-0000-0000-00002A4B0000}"/>
    <cellStyle name="Good 3 4 7" xfId="19337" xr:uid="{00000000-0005-0000-0000-00002B4B0000}"/>
    <cellStyle name="Good 3 4 8" xfId="19326" xr:uid="{00000000-0005-0000-0000-00002C4B0000}"/>
    <cellStyle name="Good 3 5" xfId="2077" xr:uid="{00000000-0005-0000-0000-00002D4B0000}"/>
    <cellStyle name="Good 3 5 2" xfId="19339" xr:uid="{00000000-0005-0000-0000-00002E4B0000}"/>
    <cellStyle name="Good 3 5 3" xfId="19338" xr:uid="{00000000-0005-0000-0000-00002F4B0000}"/>
    <cellStyle name="Good 3 6" xfId="2451" xr:uid="{00000000-0005-0000-0000-0000304B0000}"/>
    <cellStyle name="Good 3 6 2" xfId="19341" xr:uid="{00000000-0005-0000-0000-0000314B0000}"/>
    <cellStyle name="Good 3 6 3" xfId="19340" xr:uid="{00000000-0005-0000-0000-0000324B0000}"/>
    <cellStyle name="Good 3 7" xfId="2823" xr:uid="{00000000-0005-0000-0000-0000334B0000}"/>
    <cellStyle name="Good 3 7 2" xfId="19343" xr:uid="{00000000-0005-0000-0000-0000344B0000}"/>
    <cellStyle name="Good 3 7 3" xfId="19342" xr:uid="{00000000-0005-0000-0000-0000354B0000}"/>
    <cellStyle name="Good 3 8" xfId="3194" xr:uid="{00000000-0005-0000-0000-0000364B0000}"/>
    <cellStyle name="Good 3 8 2" xfId="19345" xr:uid="{00000000-0005-0000-0000-0000374B0000}"/>
    <cellStyle name="Good 3 8 3" xfId="19344" xr:uid="{00000000-0005-0000-0000-0000384B0000}"/>
    <cellStyle name="Good 3 9" xfId="3567" xr:uid="{00000000-0005-0000-0000-0000394B0000}"/>
    <cellStyle name="Good 3 9 2" xfId="19347" xr:uid="{00000000-0005-0000-0000-00003A4B0000}"/>
    <cellStyle name="Good 3 9 3" xfId="19346" xr:uid="{00000000-0005-0000-0000-00003B4B0000}"/>
    <cellStyle name="Good 4" xfId="263" xr:uid="{00000000-0005-0000-0000-00003C4B0000}"/>
    <cellStyle name="Good 4 10" xfId="3747" xr:uid="{00000000-0005-0000-0000-00003D4B0000}"/>
    <cellStyle name="Good 4 10 2" xfId="19350" xr:uid="{00000000-0005-0000-0000-00003E4B0000}"/>
    <cellStyle name="Good 4 10 3" xfId="19349" xr:uid="{00000000-0005-0000-0000-00003F4B0000}"/>
    <cellStyle name="Good 4 11" xfId="1281" xr:uid="{00000000-0005-0000-0000-0000404B0000}"/>
    <cellStyle name="Good 4 11 2" xfId="19352" xr:uid="{00000000-0005-0000-0000-0000414B0000}"/>
    <cellStyle name="Good 4 11 3" xfId="19351" xr:uid="{00000000-0005-0000-0000-0000424B0000}"/>
    <cellStyle name="Good 4 12" xfId="19353" xr:uid="{00000000-0005-0000-0000-0000434B0000}"/>
    <cellStyle name="Good 4 13" xfId="19348" xr:uid="{00000000-0005-0000-0000-0000444B0000}"/>
    <cellStyle name="Good 4 2" xfId="1521" xr:uid="{00000000-0005-0000-0000-0000454B0000}"/>
    <cellStyle name="Good 4 2 2" xfId="19355" xr:uid="{00000000-0005-0000-0000-0000464B0000}"/>
    <cellStyle name="Good 4 2 3" xfId="19354" xr:uid="{00000000-0005-0000-0000-0000474B0000}"/>
    <cellStyle name="Good 4 3" xfId="1646" xr:uid="{00000000-0005-0000-0000-0000484B0000}"/>
    <cellStyle name="Good 4 3 2" xfId="19357" xr:uid="{00000000-0005-0000-0000-0000494B0000}"/>
    <cellStyle name="Good 4 3 3" xfId="19356" xr:uid="{00000000-0005-0000-0000-00004A4B0000}"/>
    <cellStyle name="Good 4 4" xfId="1780" xr:uid="{00000000-0005-0000-0000-00004B4B0000}"/>
    <cellStyle name="Good 4 4 2" xfId="19359" xr:uid="{00000000-0005-0000-0000-00004C4B0000}"/>
    <cellStyle name="Good 4 4 3" xfId="19358" xr:uid="{00000000-0005-0000-0000-00004D4B0000}"/>
    <cellStyle name="Good 4 5" xfId="2115" xr:uid="{00000000-0005-0000-0000-00004E4B0000}"/>
    <cellStyle name="Good 4 5 2" xfId="19361" xr:uid="{00000000-0005-0000-0000-00004F4B0000}"/>
    <cellStyle name="Good 4 5 3" xfId="19360" xr:uid="{00000000-0005-0000-0000-0000504B0000}"/>
    <cellStyle name="Good 4 6" xfId="2489" xr:uid="{00000000-0005-0000-0000-0000514B0000}"/>
    <cellStyle name="Good 4 6 2" xfId="19363" xr:uid="{00000000-0005-0000-0000-0000524B0000}"/>
    <cellStyle name="Good 4 6 3" xfId="19362" xr:uid="{00000000-0005-0000-0000-0000534B0000}"/>
    <cellStyle name="Good 4 7" xfId="2861" xr:uid="{00000000-0005-0000-0000-0000544B0000}"/>
    <cellStyle name="Good 4 7 2" xfId="19365" xr:uid="{00000000-0005-0000-0000-0000554B0000}"/>
    <cellStyle name="Good 4 7 3" xfId="19364" xr:uid="{00000000-0005-0000-0000-0000564B0000}"/>
    <cellStyle name="Good 4 8" xfId="3232" xr:uid="{00000000-0005-0000-0000-0000574B0000}"/>
    <cellStyle name="Good 4 8 2" xfId="19367" xr:uid="{00000000-0005-0000-0000-0000584B0000}"/>
    <cellStyle name="Good 4 8 3" xfId="19366" xr:uid="{00000000-0005-0000-0000-0000594B0000}"/>
    <cellStyle name="Good 4 9" xfId="3610" xr:uid="{00000000-0005-0000-0000-00005A4B0000}"/>
    <cellStyle name="Good 4 9 2" xfId="19369" xr:uid="{00000000-0005-0000-0000-00005B4B0000}"/>
    <cellStyle name="Good 4 9 3" xfId="19368" xr:uid="{00000000-0005-0000-0000-00005C4B0000}"/>
    <cellStyle name="Good 5" xfId="471" xr:uid="{00000000-0005-0000-0000-00005D4B0000}"/>
    <cellStyle name="Good 5 2" xfId="1852" xr:uid="{00000000-0005-0000-0000-00005E4B0000}"/>
    <cellStyle name="Good 5 2 2" xfId="19372" xr:uid="{00000000-0005-0000-0000-00005F4B0000}"/>
    <cellStyle name="Good 5 2 3" xfId="19371" xr:uid="{00000000-0005-0000-0000-0000604B0000}"/>
    <cellStyle name="Good 5 3" xfId="2227" xr:uid="{00000000-0005-0000-0000-0000614B0000}"/>
    <cellStyle name="Good 5 3 2" xfId="19374" xr:uid="{00000000-0005-0000-0000-0000624B0000}"/>
    <cellStyle name="Good 5 3 3" xfId="19373" xr:uid="{00000000-0005-0000-0000-0000634B0000}"/>
    <cellStyle name="Good 5 4" xfId="2601" xr:uid="{00000000-0005-0000-0000-0000644B0000}"/>
    <cellStyle name="Good 5 4 2" xfId="19376" xr:uid="{00000000-0005-0000-0000-0000654B0000}"/>
    <cellStyle name="Good 5 4 3" xfId="19375" xr:uid="{00000000-0005-0000-0000-0000664B0000}"/>
    <cellStyle name="Good 5 5" xfId="2973" xr:uid="{00000000-0005-0000-0000-0000674B0000}"/>
    <cellStyle name="Good 5 5 2" xfId="19378" xr:uid="{00000000-0005-0000-0000-0000684B0000}"/>
    <cellStyle name="Good 5 5 3" xfId="19377" xr:uid="{00000000-0005-0000-0000-0000694B0000}"/>
    <cellStyle name="Good 5 6" xfId="3345" xr:uid="{00000000-0005-0000-0000-00006A4B0000}"/>
    <cellStyle name="Good 5 6 2" xfId="19380" xr:uid="{00000000-0005-0000-0000-00006B4B0000}"/>
    <cellStyle name="Good 5 6 3" xfId="19379" xr:uid="{00000000-0005-0000-0000-00006C4B0000}"/>
    <cellStyle name="Good 5 7" xfId="19381" xr:uid="{00000000-0005-0000-0000-00006D4B0000}"/>
    <cellStyle name="Good 5 7 2" xfId="19382" xr:uid="{00000000-0005-0000-0000-00006E4B0000}"/>
    <cellStyle name="Good 5 8" xfId="19383" xr:uid="{00000000-0005-0000-0000-00006F4B0000}"/>
    <cellStyle name="Good 5 9" xfId="19370" xr:uid="{00000000-0005-0000-0000-0000704B0000}"/>
    <cellStyle name="Good 6" xfId="472" xr:uid="{00000000-0005-0000-0000-0000714B0000}"/>
    <cellStyle name="Good 6 10" xfId="19384" xr:uid="{00000000-0005-0000-0000-0000724B0000}"/>
    <cellStyle name="Good 6 2" xfId="1997" xr:uid="{00000000-0005-0000-0000-0000734B0000}"/>
    <cellStyle name="Good 6 2 2" xfId="19386" xr:uid="{00000000-0005-0000-0000-0000744B0000}"/>
    <cellStyle name="Good 6 2 3" xfId="19385" xr:uid="{00000000-0005-0000-0000-0000754B0000}"/>
    <cellStyle name="Good 6 3" xfId="2372" xr:uid="{00000000-0005-0000-0000-0000764B0000}"/>
    <cellStyle name="Good 6 3 2" xfId="19388" xr:uid="{00000000-0005-0000-0000-0000774B0000}"/>
    <cellStyle name="Good 6 3 3" xfId="19387" xr:uid="{00000000-0005-0000-0000-0000784B0000}"/>
    <cellStyle name="Good 6 4" xfId="2745" xr:uid="{00000000-0005-0000-0000-0000794B0000}"/>
    <cellStyle name="Good 6 4 2" xfId="19390" xr:uid="{00000000-0005-0000-0000-00007A4B0000}"/>
    <cellStyle name="Good 6 4 3" xfId="19389" xr:uid="{00000000-0005-0000-0000-00007B4B0000}"/>
    <cellStyle name="Good 6 5" xfId="3118" xr:uid="{00000000-0005-0000-0000-00007C4B0000}"/>
    <cellStyle name="Good 6 5 2" xfId="19392" xr:uid="{00000000-0005-0000-0000-00007D4B0000}"/>
    <cellStyle name="Good 6 5 3" xfId="19391" xr:uid="{00000000-0005-0000-0000-00007E4B0000}"/>
    <cellStyle name="Good 6 6" xfId="3489" xr:uid="{00000000-0005-0000-0000-00007F4B0000}"/>
    <cellStyle name="Good 6 6 2" xfId="19394" xr:uid="{00000000-0005-0000-0000-0000804B0000}"/>
    <cellStyle name="Good 6 6 3" xfId="19393" xr:uid="{00000000-0005-0000-0000-0000814B0000}"/>
    <cellStyle name="Good 6 7" xfId="3795" xr:uid="{00000000-0005-0000-0000-0000824B0000}"/>
    <cellStyle name="Good 6 7 2" xfId="19396" xr:uid="{00000000-0005-0000-0000-0000834B0000}"/>
    <cellStyle name="Good 6 7 3" xfId="19395" xr:uid="{00000000-0005-0000-0000-0000844B0000}"/>
    <cellStyle name="Good 6 8" xfId="19397" xr:uid="{00000000-0005-0000-0000-0000854B0000}"/>
    <cellStyle name="Good 6 8 2" xfId="19398" xr:uid="{00000000-0005-0000-0000-0000864B0000}"/>
    <cellStyle name="Good 6 9" xfId="19399" xr:uid="{00000000-0005-0000-0000-0000874B0000}"/>
    <cellStyle name="Good 7" xfId="473" xr:uid="{00000000-0005-0000-0000-0000884B0000}"/>
    <cellStyle name="Good 7 2" xfId="19401" xr:uid="{00000000-0005-0000-0000-0000894B0000}"/>
    <cellStyle name="Good 7 3" xfId="19400" xr:uid="{00000000-0005-0000-0000-00008A4B0000}"/>
    <cellStyle name="Good 8" xfId="604" xr:uid="{00000000-0005-0000-0000-00008B4B0000}"/>
    <cellStyle name="Good 8 2" xfId="19403" xr:uid="{00000000-0005-0000-0000-00008C4B0000}"/>
    <cellStyle name="Good 8 3" xfId="19402" xr:uid="{00000000-0005-0000-0000-00008D4B0000}"/>
    <cellStyle name="Good 9" xfId="605" xr:uid="{00000000-0005-0000-0000-00008E4B0000}"/>
    <cellStyle name="Good 9 2" xfId="19405" xr:uid="{00000000-0005-0000-0000-00008F4B0000}"/>
    <cellStyle name="Good 9 3" xfId="19404" xr:uid="{00000000-0005-0000-0000-0000904B0000}"/>
    <cellStyle name="Heading 1 10" xfId="756" xr:uid="{00000000-0005-0000-0000-0000914B0000}"/>
    <cellStyle name="Heading 1 10 2" xfId="19408" xr:uid="{00000000-0005-0000-0000-0000924B0000}"/>
    <cellStyle name="Heading 1 10 3" xfId="19407" xr:uid="{00000000-0005-0000-0000-0000934B0000}"/>
    <cellStyle name="Heading 1 11" xfId="757" xr:uid="{00000000-0005-0000-0000-0000944B0000}"/>
    <cellStyle name="Heading 1 11 2" xfId="19410" xr:uid="{00000000-0005-0000-0000-0000954B0000}"/>
    <cellStyle name="Heading 1 11 3" xfId="19409" xr:uid="{00000000-0005-0000-0000-0000964B0000}"/>
    <cellStyle name="Heading 1 12" xfId="885" xr:uid="{00000000-0005-0000-0000-0000974B0000}"/>
    <cellStyle name="Heading 1 12 2" xfId="19411" xr:uid="{00000000-0005-0000-0000-0000984B0000}"/>
    <cellStyle name="Heading 1 13" xfId="886" xr:uid="{00000000-0005-0000-0000-0000994B0000}"/>
    <cellStyle name="Heading 1 13 2" xfId="19406" xr:uid="{00000000-0005-0000-0000-00009A4B0000}"/>
    <cellStyle name="Heading 1 14" xfId="979" xr:uid="{00000000-0005-0000-0000-00009B4B0000}"/>
    <cellStyle name="Heading 1 2" xfId="98" xr:uid="{00000000-0005-0000-0000-00009C4B0000}"/>
    <cellStyle name="Heading 1 2 10" xfId="1696" xr:uid="{00000000-0005-0000-0000-00009D4B0000}"/>
    <cellStyle name="Heading 1 2 10 2" xfId="19414" xr:uid="{00000000-0005-0000-0000-00009E4B0000}"/>
    <cellStyle name="Heading 1 2 10 3" xfId="19413" xr:uid="{00000000-0005-0000-0000-00009F4B0000}"/>
    <cellStyle name="Heading 1 2 11" xfId="2031" xr:uid="{00000000-0005-0000-0000-0000A04B0000}"/>
    <cellStyle name="Heading 1 2 11 2" xfId="19416" xr:uid="{00000000-0005-0000-0000-0000A14B0000}"/>
    <cellStyle name="Heading 1 2 11 3" xfId="19415" xr:uid="{00000000-0005-0000-0000-0000A24B0000}"/>
    <cellStyle name="Heading 1 2 12" xfId="2405" xr:uid="{00000000-0005-0000-0000-0000A34B0000}"/>
    <cellStyle name="Heading 1 2 12 2" xfId="19418" xr:uid="{00000000-0005-0000-0000-0000A44B0000}"/>
    <cellStyle name="Heading 1 2 12 3" xfId="19417" xr:uid="{00000000-0005-0000-0000-0000A54B0000}"/>
    <cellStyle name="Heading 1 2 13" xfId="2778" xr:uid="{00000000-0005-0000-0000-0000A64B0000}"/>
    <cellStyle name="Heading 1 2 13 2" xfId="19420" xr:uid="{00000000-0005-0000-0000-0000A74B0000}"/>
    <cellStyle name="Heading 1 2 13 3" xfId="19419" xr:uid="{00000000-0005-0000-0000-0000A84B0000}"/>
    <cellStyle name="Heading 1 2 14" xfId="3152" xr:uid="{00000000-0005-0000-0000-0000A94B0000}"/>
    <cellStyle name="Heading 1 2 14 2" xfId="19422" xr:uid="{00000000-0005-0000-0000-0000AA4B0000}"/>
    <cellStyle name="Heading 1 2 14 3" xfId="19421" xr:uid="{00000000-0005-0000-0000-0000AB4B0000}"/>
    <cellStyle name="Heading 1 2 15" xfId="3523" xr:uid="{00000000-0005-0000-0000-0000AC4B0000}"/>
    <cellStyle name="Heading 1 2 15 2" xfId="19424" xr:uid="{00000000-0005-0000-0000-0000AD4B0000}"/>
    <cellStyle name="Heading 1 2 15 3" xfId="19423" xr:uid="{00000000-0005-0000-0000-0000AE4B0000}"/>
    <cellStyle name="Heading 1 2 16" xfId="3661" xr:uid="{00000000-0005-0000-0000-0000AF4B0000}"/>
    <cellStyle name="Heading 1 2 16 2" xfId="19426" xr:uid="{00000000-0005-0000-0000-0000B04B0000}"/>
    <cellStyle name="Heading 1 2 16 3" xfId="19425" xr:uid="{00000000-0005-0000-0000-0000B14B0000}"/>
    <cellStyle name="Heading 1 2 17" xfId="19427" xr:uid="{00000000-0005-0000-0000-0000B24B0000}"/>
    <cellStyle name="Heading 1 2 17 2" xfId="19428" xr:uid="{00000000-0005-0000-0000-0000B34B0000}"/>
    <cellStyle name="Heading 1 2 18" xfId="19429" xr:uid="{00000000-0005-0000-0000-0000B44B0000}"/>
    <cellStyle name="Heading 1 2 19" xfId="19412" xr:uid="{00000000-0005-0000-0000-0000B54B0000}"/>
    <cellStyle name="Heading 1 2 2" xfId="142" xr:uid="{00000000-0005-0000-0000-0000B64B0000}"/>
    <cellStyle name="Heading 1 2 2 2" xfId="154" xr:uid="{00000000-0005-0000-0000-0000B74B0000}"/>
    <cellStyle name="Heading 1 2 2 2 2" xfId="19432" xr:uid="{00000000-0005-0000-0000-0000B84B0000}"/>
    <cellStyle name="Heading 1 2 2 2 3" xfId="19431" xr:uid="{00000000-0005-0000-0000-0000B94B0000}"/>
    <cellStyle name="Heading 1 2 2 3" xfId="318" xr:uid="{00000000-0005-0000-0000-0000BA4B0000}"/>
    <cellStyle name="Heading 1 2 2 3 2" xfId="19434" xr:uid="{00000000-0005-0000-0000-0000BB4B0000}"/>
    <cellStyle name="Heading 1 2 2 3 3" xfId="19433" xr:uid="{00000000-0005-0000-0000-0000BC4B0000}"/>
    <cellStyle name="Heading 1 2 2 4" xfId="2141" xr:uid="{00000000-0005-0000-0000-0000BD4B0000}"/>
    <cellStyle name="Heading 1 2 2 4 2" xfId="19436" xr:uid="{00000000-0005-0000-0000-0000BE4B0000}"/>
    <cellStyle name="Heading 1 2 2 4 3" xfId="19435" xr:uid="{00000000-0005-0000-0000-0000BF4B0000}"/>
    <cellStyle name="Heading 1 2 2 5" xfId="2515" xr:uid="{00000000-0005-0000-0000-0000C04B0000}"/>
    <cellStyle name="Heading 1 2 2 5 2" xfId="19438" xr:uid="{00000000-0005-0000-0000-0000C14B0000}"/>
    <cellStyle name="Heading 1 2 2 5 3" xfId="19437" xr:uid="{00000000-0005-0000-0000-0000C24B0000}"/>
    <cellStyle name="Heading 1 2 2 6" xfId="2887" xr:uid="{00000000-0005-0000-0000-0000C34B0000}"/>
    <cellStyle name="Heading 1 2 2 6 2" xfId="19440" xr:uid="{00000000-0005-0000-0000-0000C44B0000}"/>
    <cellStyle name="Heading 1 2 2 6 3" xfId="19439" xr:uid="{00000000-0005-0000-0000-0000C54B0000}"/>
    <cellStyle name="Heading 1 2 2 7" xfId="3258" xr:uid="{00000000-0005-0000-0000-0000C64B0000}"/>
    <cellStyle name="Heading 1 2 2 7 2" xfId="19442" xr:uid="{00000000-0005-0000-0000-0000C74B0000}"/>
    <cellStyle name="Heading 1 2 2 7 3" xfId="19441" xr:uid="{00000000-0005-0000-0000-0000C84B0000}"/>
    <cellStyle name="Heading 1 2 2 8" xfId="19443" xr:uid="{00000000-0005-0000-0000-0000C94B0000}"/>
    <cellStyle name="Heading 1 2 2 9" xfId="19430" xr:uid="{00000000-0005-0000-0000-0000CA4B0000}"/>
    <cellStyle name="Heading 1 2 20" xfId="24495" xr:uid="{00000000-0005-0000-0000-0000CB4B0000}"/>
    <cellStyle name="Heading 1 2 3" xfId="307" xr:uid="{00000000-0005-0000-0000-0000CC4B0000}"/>
    <cellStyle name="Heading 1 2 3 2" xfId="1317" xr:uid="{00000000-0005-0000-0000-0000CD4B0000}"/>
    <cellStyle name="Heading 1 2 3 2 2" xfId="19445" xr:uid="{00000000-0005-0000-0000-0000CE4B0000}"/>
    <cellStyle name="Heading 1 2 3 3" xfId="19444" xr:uid="{00000000-0005-0000-0000-0000CF4B0000}"/>
    <cellStyle name="Heading 1 2 4" xfId="474" xr:uid="{00000000-0005-0000-0000-0000D04B0000}"/>
    <cellStyle name="Heading 1 2 4 2" xfId="19447" xr:uid="{00000000-0005-0000-0000-0000D14B0000}"/>
    <cellStyle name="Heading 1 2 4 3" xfId="19446" xr:uid="{00000000-0005-0000-0000-0000D24B0000}"/>
    <cellStyle name="Heading 1 2 5" xfId="606" xr:uid="{00000000-0005-0000-0000-0000D34B0000}"/>
    <cellStyle name="Heading 1 2 5 2" xfId="19449" xr:uid="{00000000-0005-0000-0000-0000D44B0000}"/>
    <cellStyle name="Heading 1 2 5 3" xfId="19448" xr:uid="{00000000-0005-0000-0000-0000D54B0000}"/>
    <cellStyle name="Heading 1 2 6" xfId="758" xr:uid="{00000000-0005-0000-0000-0000D64B0000}"/>
    <cellStyle name="Heading 1 2 6 2" xfId="19451" xr:uid="{00000000-0005-0000-0000-0000D74B0000}"/>
    <cellStyle name="Heading 1 2 6 3" xfId="19450" xr:uid="{00000000-0005-0000-0000-0000D84B0000}"/>
    <cellStyle name="Heading 1 2 7" xfId="759" xr:uid="{00000000-0005-0000-0000-0000D94B0000}"/>
    <cellStyle name="Heading 1 2 7 2" xfId="19453" xr:uid="{00000000-0005-0000-0000-0000DA4B0000}"/>
    <cellStyle name="Heading 1 2 7 3" xfId="19452" xr:uid="{00000000-0005-0000-0000-0000DB4B0000}"/>
    <cellStyle name="Heading 1 2 8" xfId="887" xr:uid="{00000000-0005-0000-0000-0000DC4B0000}"/>
    <cellStyle name="Heading 1 2 8 2" xfId="1425" xr:uid="{00000000-0005-0000-0000-0000DD4B0000}"/>
    <cellStyle name="Heading 1 2 8 2 2" xfId="19455" xr:uid="{00000000-0005-0000-0000-0000DE4B0000}"/>
    <cellStyle name="Heading 1 2 8 3" xfId="19454" xr:uid="{00000000-0005-0000-0000-0000DF4B0000}"/>
    <cellStyle name="Heading 1 2 9" xfId="980" xr:uid="{00000000-0005-0000-0000-0000E04B0000}"/>
    <cellStyle name="Heading 1 2 9 2" xfId="1552" xr:uid="{00000000-0005-0000-0000-0000E14B0000}"/>
    <cellStyle name="Heading 1 2 9 2 2" xfId="19457" xr:uid="{00000000-0005-0000-0000-0000E24B0000}"/>
    <cellStyle name="Heading 1 2 9 3" xfId="19456" xr:uid="{00000000-0005-0000-0000-0000E34B0000}"/>
    <cellStyle name="Heading 1 3" xfId="195" xr:uid="{00000000-0005-0000-0000-0000E44B0000}"/>
    <cellStyle name="Heading 1 3 10" xfId="3704" xr:uid="{00000000-0005-0000-0000-0000E54B0000}"/>
    <cellStyle name="Heading 1 3 10 2" xfId="19460" xr:uid="{00000000-0005-0000-0000-0000E64B0000}"/>
    <cellStyle name="Heading 1 3 10 3" xfId="19459" xr:uid="{00000000-0005-0000-0000-0000E74B0000}"/>
    <cellStyle name="Heading 1 3 11" xfId="19461" xr:uid="{00000000-0005-0000-0000-0000E84B0000}"/>
    <cellStyle name="Heading 1 3 11 2" xfId="19462" xr:uid="{00000000-0005-0000-0000-0000E94B0000}"/>
    <cellStyle name="Heading 1 3 12" xfId="19463" xr:uid="{00000000-0005-0000-0000-0000EA4B0000}"/>
    <cellStyle name="Heading 1 3 13" xfId="19458" xr:uid="{00000000-0005-0000-0000-0000EB4B0000}"/>
    <cellStyle name="Heading 1 3 2" xfId="1477" xr:uid="{00000000-0005-0000-0000-0000EC4B0000}"/>
    <cellStyle name="Heading 1 3 2 2" xfId="1806" xr:uid="{00000000-0005-0000-0000-0000ED4B0000}"/>
    <cellStyle name="Heading 1 3 2 2 2" xfId="19466" xr:uid="{00000000-0005-0000-0000-0000EE4B0000}"/>
    <cellStyle name="Heading 1 3 2 2 3" xfId="19465" xr:uid="{00000000-0005-0000-0000-0000EF4B0000}"/>
    <cellStyle name="Heading 1 3 2 3" xfId="2181" xr:uid="{00000000-0005-0000-0000-0000F04B0000}"/>
    <cellStyle name="Heading 1 3 2 3 2" xfId="19468" xr:uid="{00000000-0005-0000-0000-0000F14B0000}"/>
    <cellStyle name="Heading 1 3 2 3 3" xfId="19467" xr:uid="{00000000-0005-0000-0000-0000F24B0000}"/>
    <cellStyle name="Heading 1 3 2 4" xfId="2555" xr:uid="{00000000-0005-0000-0000-0000F34B0000}"/>
    <cellStyle name="Heading 1 3 2 4 2" xfId="19470" xr:uid="{00000000-0005-0000-0000-0000F44B0000}"/>
    <cellStyle name="Heading 1 3 2 4 3" xfId="19469" xr:uid="{00000000-0005-0000-0000-0000F54B0000}"/>
    <cellStyle name="Heading 1 3 2 5" xfId="2927" xr:uid="{00000000-0005-0000-0000-0000F64B0000}"/>
    <cellStyle name="Heading 1 3 2 5 2" xfId="19472" xr:uid="{00000000-0005-0000-0000-0000F74B0000}"/>
    <cellStyle name="Heading 1 3 2 5 3" xfId="19471" xr:uid="{00000000-0005-0000-0000-0000F84B0000}"/>
    <cellStyle name="Heading 1 3 2 6" xfId="3299" xr:uid="{00000000-0005-0000-0000-0000F94B0000}"/>
    <cellStyle name="Heading 1 3 2 6 2" xfId="19474" xr:uid="{00000000-0005-0000-0000-0000FA4B0000}"/>
    <cellStyle name="Heading 1 3 2 6 3" xfId="19473" xr:uid="{00000000-0005-0000-0000-0000FB4B0000}"/>
    <cellStyle name="Heading 1 3 2 7" xfId="19475" xr:uid="{00000000-0005-0000-0000-0000FC4B0000}"/>
    <cellStyle name="Heading 1 3 2 8" xfId="19464" xr:uid="{00000000-0005-0000-0000-0000FD4B0000}"/>
    <cellStyle name="Heading 1 3 3" xfId="1604" xr:uid="{00000000-0005-0000-0000-0000FE4B0000}"/>
    <cellStyle name="Heading 1 3 3 2" xfId="1883" xr:uid="{00000000-0005-0000-0000-0000FF4B0000}"/>
    <cellStyle name="Heading 1 3 3 2 2" xfId="19478" xr:uid="{00000000-0005-0000-0000-0000004C0000}"/>
    <cellStyle name="Heading 1 3 3 2 3" xfId="19477" xr:uid="{00000000-0005-0000-0000-0000014C0000}"/>
    <cellStyle name="Heading 1 3 3 3" xfId="2258" xr:uid="{00000000-0005-0000-0000-0000024C0000}"/>
    <cellStyle name="Heading 1 3 3 3 2" xfId="19480" xr:uid="{00000000-0005-0000-0000-0000034C0000}"/>
    <cellStyle name="Heading 1 3 3 3 3" xfId="19479" xr:uid="{00000000-0005-0000-0000-0000044C0000}"/>
    <cellStyle name="Heading 1 3 3 4" xfId="2631" xr:uid="{00000000-0005-0000-0000-0000054C0000}"/>
    <cellStyle name="Heading 1 3 3 4 2" xfId="19482" xr:uid="{00000000-0005-0000-0000-0000064C0000}"/>
    <cellStyle name="Heading 1 3 3 4 3" xfId="19481" xr:uid="{00000000-0005-0000-0000-0000074C0000}"/>
    <cellStyle name="Heading 1 3 3 5" xfId="3004" xr:uid="{00000000-0005-0000-0000-0000084C0000}"/>
    <cellStyle name="Heading 1 3 3 5 2" xfId="19484" xr:uid="{00000000-0005-0000-0000-0000094C0000}"/>
    <cellStyle name="Heading 1 3 3 5 3" xfId="19483" xr:uid="{00000000-0005-0000-0000-00000A4C0000}"/>
    <cellStyle name="Heading 1 3 3 6" xfId="3375" xr:uid="{00000000-0005-0000-0000-00000B4C0000}"/>
    <cellStyle name="Heading 1 3 3 6 2" xfId="19486" xr:uid="{00000000-0005-0000-0000-00000C4C0000}"/>
    <cellStyle name="Heading 1 3 3 6 3" xfId="19485" xr:uid="{00000000-0005-0000-0000-00000D4C0000}"/>
    <cellStyle name="Heading 1 3 3 7" xfId="19487" xr:uid="{00000000-0005-0000-0000-00000E4C0000}"/>
    <cellStyle name="Heading 1 3 3 8" xfId="19476" xr:uid="{00000000-0005-0000-0000-00000F4C0000}"/>
    <cellStyle name="Heading 1 3 4" xfId="1743" xr:uid="{00000000-0005-0000-0000-0000104C0000}"/>
    <cellStyle name="Heading 1 3 4 2" xfId="1927" xr:uid="{00000000-0005-0000-0000-0000114C0000}"/>
    <cellStyle name="Heading 1 3 4 2 2" xfId="19490" xr:uid="{00000000-0005-0000-0000-0000124C0000}"/>
    <cellStyle name="Heading 1 3 4 2 3" xfId="19489" xr:uid="{00000000-0005-0000-0000-0000134C0000}"/>
    <cellStyle name="Heading 1 3 4 3" xfId="2302" xr:uid="{00000000-0005-0000-0000-0000144C0000}"/>
    <cellStyle name="Heading 1 3 4 3 2" xfId="19492" xr:uid="{00000000-0005-0000-0000-0000154C0000}"/>
    <cellStyle name="Heading 1 3 4 3 3" xfId="19491" xr:uid="{00000000-0005-0000-0000-0000164C0000}"/>
    <cellStyle name="Heading 1 3 4 4" xfId="2675" xr:uid="{00000000-0005-0000-0000-0000174C0000}"/>
    <cellStyle name="Heading 1 3 4 4 2" xfId="19494" xr:uid="{00000000-0005-0000-0000-0000184C0000}"/>
    <cellStyle name="Heading 1 3 4 4 3" xfId="19493" xr:uid="{00000000-0005-0000-0000-0000194C0000}"/>
    <cellStyle name="Heading 1 3 4 5" xfId="3048" xr:uid="{00000000-0005-0000-0000-00001A4C0000}"/>
    <cellStyle name="Heading 1 3 4 5 2" xfId="19496" xr:uid="{00000000-0005-0000-0000-00001B4C0000}"/>
    <cellStyle name="Heading 1 3 4 5 3" xfId="19495" xr:uid="{00000000-0005-0000-0000-00001C4C0000}"/>
    <cellStyle name="Heading 1 3 4 6" xfId="3419" xr:uid="{00000000-0005-0000-0000-00001D4C0000}"/>
    <cellStyle name="Heading 1 3 4 6 2" xfId="19498" xr:uid="{00000000-0005-0000-0000-00001E4C0000}"/>
    <cellStyle name="Heading 1 3 4 6 3" xfId="19497" xr:uid="{00000000-0005-0000-0000-00001F4C0000}"/>
    <cellStyle name="Heading 1 3 4 7" xfId="19499" xr:uid="{00000000-0005-0000-0000-0000204C0000}"/>
    <cellStyle name="Heading 1 3 4 8" xfId="19488" xr:uid="{00000000-0005-0000-0000-0000214C0000}"/>
    <cellStyle name="Heading 1 3 5" xfId="2078" xr:uid="{00000000-0005-0000-0000-0000224C0000}"/>
    <cellStyle name="Heading 1 3 5 2" xfId="19501" xr:uid="{00000000-0005-0000-0000-0000234C0000}"/>
    <cellStyle name="Heading 1 3 5 3" xfId="19500" xr:uid="{00000000-0005-0000-0000-0000244C0000}"/>
    <cellStyle name="Heading 1 3 6" xfId="2452" xr:uid="{00000000-0005-0000-0000-0000254C0000}"/>
    <cellStyle name="Heading 1 3 6 2" xfId="19503" xr:uid="{00000000-0005-0000-0000-0000264C0000}"/>
    <cellStyle name="Heading 1 3 6 3" xfId="19502" xr:uid="{00000000-0005-0000-0000-0000274C0000}"/>
    <cellStyle name="Heading 1 3 7" xfId="2824" xr:uid="{00000000-0005-0000-0000-0000284C0000}"/>
    <cellStyle name="Heading 1 3 7 2" xfId="19505" xr:uid="{00000000-0005-0000-0000-0000294C0000}"/>
    <cellStyle name="Heading 1 3 7 3" xfId="19504" xr:uid="{00000000-0005-0000-0000-00002A4C0000}"/>
    <cellStyle name="Heading 1 3 8" xfId="3195" xr:uid="{00000000-0005-0000-0000-00002B4C0000}"/>
    <cellStyle name="Heading 1 3 8 2" xfId="19507" xr:uid="{00000000-0005-0000-0000-00002C4C0000}"/>
    <cellStyle name="Heading 1 3 8 3" xfId="19506" xr:uid="{00000000-0005-0000-0000-00002D4C0000}"/>
    <cellStyle name="Heading 1 3 9" xfId="3568" xr:uid="{00000000-0005-0000-0000-00002E4C0000}"/>
    <cellStyle name="Heading 1 3 9 2" xfId="19509" xr:uid="{00000000-0005-0000-0000-00002F4C0000}"/>
    <cellStyle name="Heading 1 3 9 3" xfId="19508" xr:uid="{00000000-0005-0000-0000-0000304C0000}"/>
    <cellStyle name="Heading 1 4" xfId="264" xr:uid="{00000000-0005-0000-0000-0000314C0000}"/>
    <cellStyle name="Heading 1 4 10" xfId="3748" xr:uid="{00000000-0005-0000-0000-0000324C0000}"/>
    <cellStyle name="Heading 1 4 10 2" xfId="19512" xr:uid="{00000000-0005-0000-0000-0000334C0000}"/>
    <cellStyle name="Heading 1 4 10 3" xfId="19511" xr:uid="{00000000-0005-0000-0000-0000344C0000}"/>
    <cellStyle name="Heading 1 4 11" xfId="1277" xr:uid="{00000000-0005-0000-0000-0000354C0000}"/>
    <cellStyle name="Heading 1 4 11 2" xfId="19514" xr:uid="{00000000-0005-0000-0000-0000364C0000}"/>
    <cellStyle name="Heading 1 4 11 3" xfId="19513" xr:uid="{00000000-0005-0000-0000-0000374C0000}"/>
    <cellStyle name="Heading 1 4 12" xfId="19515" xr:uid="{00000000-0005-0000-0000-0000384C0000}"/>
    <cellStyle name="Heading 1 4 13" xfId="19510" xr:uid="{00000000-0005-0000-0000-0000394C0000}"/>
    <cellStyle name="Heading 1 4 2" xfId="1522" xr:uid="{00000000-0005-0000-0000-00003A4C0000}"/>
    <cellStyle name="Heading 1 4 2 2" xfId="19517" xr:uid="{00000000-0005-0000-0000-00003B4C0000}"/>
    <cellStyle name="Heading 1 4 2 3" xfId="19516" xr:uid="{00000000-0005-0000-0000-00003C4C0000}"/>
    <cellStyle name="Heading 1 4 3" xfId="1647" xr:uid="{00000000-0005-0000-0000-00003D4C0000}"/>
    <cellStyle name="Heading 1 4 3 2" xfId="19519" xr:uid="{00000000-0005-0000-0000-00003E4C0000}"/>
    <cellStyle name="Heading 1 4 3 3" xfId="19518" xr:uid="{00000000-0005-0000-0000-00003F4C0000}"/>
    <cellStyle name="Heading 1 4 4" xfId="1779" xr:uid="{00000000-0005-0000-0000-0000404C0000}"/>
    <cellStyle name="Heading 1 4 4 2" xfId="19521" xr:uid="{00000000-0005-0000-0000-0000414C0000}"/>
    <cellStyle name="Heading 1 4 4 3" xfId="19520" xr:uid="{00000000-0005-0000-0000-0000424C0000}"/>
    <cellStyle name="Heading 1 4 5" xfId="2114" xr:uid="{00000000-0005-0000-0000-0000434C0000}"/>
    <cellStyle name="Heading 1 4 5 2" xfId="19523" xr:uid="{00000000-0005-0000-0000-0000444C0000}"/>
    <cellStyle name="Heading 1 4 5 3" xfId="19522" xr:uid="{00000000-0005-0000-0000-0000454C0000}"/>
    <cellStyle name="Heading 1 4 6" xfId="2488" xr:uid="{00000000-0005-0000-0000-0000464C0000}"/>
    <cellStyle name="Heading 1 4 6 2" xfId="19525" xr:uid="{00000000-0005-0000-0000-0000474C0000}"/>
    <cellStyle name="Heading 1 4 6 3" xfId="19524" xr:uid="{00000000-0005-0000-0000-0000484C0000}"/>
    <cellStyle name="Heading 1 4 7" xfId="2860" xr:uid="{00000000-0005-0000-0000-0000494C0000}"/>
    <cellStyle name="Heading 1 4 7 2" xfId="19527" xr:uid="{00000000-0005-0000-0000-00004A4C0000}"/>
    <cellStyle name="Heading 1 4 7 3" xfId="19526" xr:uid="{00000000-0005-0000-0000-00004B4C0000}"/>
    <cellStyle name="Heading 1 4 8" xfId="3231" xr:uid="{00000000-0005-0000-0000-00004C4C0000}"/>
    <cellStyle name="Heading 1 4 8 2" xfId="19529" xr:uid="{00000000-0005-0000-0000-00004D4C0000}"/>
    <cellStyle name="Heading 1 4 8 3" xfId="19528" xr:uid="{00000000-0005-0000-0000-00004E4C0000}"/>
    <cellStyle name="Heading 1 4 9" xfId="3611" xr:uid="{00000000-0005-0000-0000-00004F4C0000}"/>
    <cellStyle name="Heading 1 4 9 2" xfId="19531" xr:uid="{00000000-0005-0000-0000-0000504C0000}"/>
    <cellStyle name="Heading 1 4 9 3" xfId="19530" xr:uid="{00000000-0005-0000-0000-0000514C0000}"/>
    <cellStyle name="Heading 1 5" xfId="475" xr:uid="{00000000-0005-0000-0000-0000524C0000}"/>
    <cellStyle name="Heading 1 5 2" xfId="1872" xr:uid="{00000000-0005-0000-0000-0000534C0000}"/>
    <cellStyle name="Heading 1 5 2 2" xfId="19534" xr:uid="{00000000-0005-0000-0000-0000544C0000}"/>
    <cellStyle name="Heading 1 5 2 3" xfId="19533" xr:uid="{00000000-0005-0000-0000-0000554C0000}"/>
    <cellStyle name="Heading 1 5 3" xfId="2247" xr:uid="{00000000-0005-0000-0000-0000564C0000}"/>
    <cellStyle name="Heading 1 5 3 2" xfId="19536" xr:uid="{00000000-0005-0000-0000-0000574C0000}"/>
    <cellStyle name="Heading 1 5 3 3" xfId="19535" xr:uid="{00000000-0005-0000-0000-0000584C0000}"/>
    <cellStyle name="Heading 1 5 4" xfId="2621" xr:uid="{00000000-0005-0000-0000-0000594C0000}"/>
    <cellStyle name="Heading 1 5 4 2" xfId="19538" xr:uid="{00000000-0005-0000-0000-00005A4C0000}"/>
    <cellStyle name="Heading 1 5 4 3" xfId="19537" xr:uid="{00000000-0005-0000-0000-00005B4C0000}"/>
    <cellStyle name="Heading 1 5 5" xfId="2993" xr:uid="{00000000-0005-0000-0000-00005C4C0000}"/>
    <cellStyle name="Heading 1 5 5 2" xfId="19540" xr:uid="{00000000-0005-0000-0000-00005D4C0000}"/>
    <cellStyle name="Heading 1 5 5 3" xfId="19539" xr:uid="{00000000-0005-0000-0000-00005E4C0000}"/>
    <cellStyle name="Heading 1 5 6" xfId="3365" xr:uid="{00000000-0005-0000-0000-00005F4C0000}"/>
    <cellStyle name="Heading 1 5 6 2" xfId="19542" xr:uid="{00000000-0005-0000-0000-0000604C0000}"/>
    <cellStyle name="Heading 1 5 6 3" xfId="19541" xr:uid="{00000000-0005-0000-0000-0000614C0000}"/>
    <cellStyle name="Heading 1 5 7" xfId="19543" xr:uid="{00000000-0005-0000-0000-0000624C0000}"/>
    <cellStyle name="Heading 1 5 7 2" xfId="19544" xr:uid="{00000000-0005-0000-0000-0000634C0000}"/>
    <cellStyle name="Heading 1 5 8" xfId="19545" xr:uid="{00000000-0005-0000-0000-0000644C0000}"/>
    <cellStyle name="Heading 1 5 9" xfId="19532" xr:uid="{00000000-0005-0000-0000-0000654C0000}"/>
    <cellStyle name="Heading 1 6" xfId="476" xr:uid="{00000000-0005-0000-0000-0000664C0000}"/>
    <cellStyle name="Heading 1 6 10" xfId="19546" xr:uid="{00000000-0005-0000-0000-0000674C0000}"/>
    <cellStyle name="Heading 1 6 2" xfId="1998" xr:uid="{00000000-0005-0000-0000-0000684C0000}"/>
    <cellStyle name="Heading 1 6 2 2" xfId="19548" xr:uid="{00000000-0005-0000-0000-0000694C0000}"/>
    <cellStyle name="Heading 1 6 2 3" xfId="19547" xr:uid="{00000000-0005-0000-0000-00006A4C0000}"/>
    <cellStyle name="Heading 1 6 3" xfId="2373" xr:uid="{00000000-0005-0000-0000-00006B4C0000}"/>
    <cellStyle name="Heading 1 6 3 2" xfId="19550" xr:uid="{00000000-0005-0000-0000-00006C4C0000}"/>
    <cellStyle name="Heading 1 6 3 3" xfId="19549" xr:uid="{00000000-0005-0000-0000-00006D4C0000}"/>
    <cellStyle name="Heading 1 6 4" xfId="2746" xr:uid="{00000000-0005-0000-0000-00006E4C0000}"/>
    <cellStyle name="Heading 1 6 4 2" xfId="19552" xr:uid="{00000000-0005-0000-0000-00006F4C0000}"/>
    <cellStyle name="Heading 1 6 4 3" xfId="19551" xr:uid="{00000000-0005-0000-0000-0000704C0000}"/>
    <cellStyle name="Heading 1 6 5" xfId="3119" xr:uid="{00000000-0005-0000-0000-0000714C0000}"/>
    <cellStyle name="Heading 1 6 5 2" xfId="19554" xr:uid="{00000000-0005-0000-0000-0000724C0000}"/>
    <cellStyle name="Heading 1 6 5 3" xfId="19553" xr:uid="{00000000-0005-0000-0000-0000734C0000}"/>
    <cellStyle name="Heading 1 6 6" xfId="3490" xr:uid="{00000000-0005-0000-0000-0000744C0000}"/>
    <cellStyle name="Heading 1 6 6 2" xfId="19556" xr:uid="{00000000-0005-0000-0000-0000754C0000}"/>
    <cellStyle name="Heading 1 6 6 3" xfId="19555" xr:uid="{00000000-0005-0000-0000-0000764C0000}"/>
    <cellStyle name="Heading 1 6 7" xfId="3796" xr:uid="{00000000-0005-0000-0000-0000774C0000}"/>
    <cellStyle name="Heading 1 6 7 2" xfId="19558" xr:uid="{00000000-0005-0000-0000-0000784C0000}"/>
    <cellStyle name="Heading 1 6 7 3" xfId="19557" xr:uid="{00000000-0005-0000-0000-0000794C0000}"/>
    <cellStyle name="Heading 1 6 8" xfId="19559" xr:uid="{00000000-0005-0000-0000-00007A4C0000}"/>
    <cellStyle name="Heading 1 6 8 2" xfId="19560" xr:uid="{00000000-0005-0000-0000-00007B4C0000}"/>
    <cellStyle name="Heading 1 6 9" xfId="19561" xr:uid="{00000000-0005-0000-0000-00007C4C0000}"/>
    <cellStyle name="Heading 1 7" xfId="477" xr:uid="{00000000-0005-0000-0000-00007D4C0000}"/>
    <cellStyle name="Heading 1 7 2" xfId="19563" xr:uid="{00000000-0005-0000-0000-00007E4C0000}"/>
    <cellStyle name="Heading 1 7 3" xfId="19562" xr:uid="{00000000-0005-0000-0000-00007F4C0000}"/>
    <cellStyle name="Heading 1 8" xfId="607" xr:uid="{00000000-0005-0000-0000-0000804C0000}"/>
    <cellStyle name="Heading 1 8 2" xfId="19565" xr:uid="{00000000-0005-0000-0000-0000814C0000}"/>
    <cellStyle name="Heading 1 8 3" xfId="19564" xr:uid="{00000000-0005-0000-0000-0000824C0000}"/>
    <cellStyle name="Heading 1 9" xfId="608" xr:uid="{00000000-0005-0000-0000-0000834C0000}"/>
    <cellStyle name="Heading 1 9 2" xfId="19567" xr:uid="{00000000-0005-0000-0000-0000844C0000}"/>
    <cellStyle name="Heading 1 9 3" xfId="19566" xr:uid="{00000000-0005-0000-0000-0000854C0000}"/>
    <cellStyle name="Heading 2 10" xfId="760" xr:uid="{00000000-0005-0000-0000-0000864C0000}"/>
    <cellStyle name="Heading 2 10 2" xfId="19570" xr:uid="{00000000-0005-0000-0000-0000874C0000}"/>
    <cellStyle name="Heading 2 10 3" xfId="19569" xr:uid="{00000000-0005-0000-0000-0000884C0000}"/>
    <cellStyle name="Heading 2 11" xfId="761" xr:uid="{00000000-0005-0000-0000-0000894C0000}"/>
    <cellStyle name="Heading 2 11 2" xfId="19572" xr:uid="{00000000-0005-0000-0000-00008A4C0000}"/>
    <cellStyle name="Heading 2 11 3" xfId="19571" xr:uid="{00000000-0005-0000-0000-00008B4C0000}"/>
    <cellStyle name="Heading 2 12" xfId="888" xr:uid="{00000000-0005-0000-0000-00008C4C0000}"/>
    <cellStyle name="Heading 2 12 2" xfId="19573" xr:uid="{00000000-0005-0000-0000-00008D4C0000}"/>
    <cellStyle name="Heading 2 13" xfId="889" xr:uid="{00000000-0005-0000-0000-00008E4C0000}"/>
    <cellStyle name="Heading 2 13 2" xfId="19568" xr:uid="{00000000-0005-0000-0000-00008F4C0000}"/>
    <cellStyle name="Heading 2 14" xfId="981" xr:uid="{00000000-0005-0000-0000-0000904C0000}"/>
    <cellStyle name="Heading 2 2" xfId="99" xr:uid="{00000000-0005-0000-0000-0000914C0000}"/>
    <cellStyle name="Heading 2 2 10" xfId="1697" xr:uid="{00000000-0005-0000-0000-0000924C0000}"/>
    <cellStyle name="Heading 2 2 10 2" xfId="19576" xr:uid="{00000000-0005-0000-0000-0000934C0000}"/>
    <cellStyle name="Heading 2 2 10 3" xfId="19575" xr:uid="{00000000-0005-0000-0000-0000944C0000}"/>
    <cellStyle name="Heading 2 2 11" xfId="2032" xr:uid="{00000000-0005-0000-0000-0000954C0000}"/>
    <cellStyle name="Heading 2 2 11 2" xfId="19578" xr:uid="{00000000-0005-0000-0000-0000964C0000}"/>
    <cellStyle name="Heading 2 2 11 3" xfId="19577" xr:uid="{00000000-0005-0000-0000-0000974C0000}"/>
    <cellStyle name="Heading 2 2 12" xfId="2406" xr:uid="{00000000-0005-0000-0000-0000984C0000}"/>
    <cellStyle name="Heading 2 2 12 2" xfId="19580" xr:uid="{00000000-0005-0000-0000-0000994C0000}"/>
    <cellStyle name="Heading 2 2 12 3" xfId="19579" xr:uid="{00000000-0005-0000-0000-00009A4C0000}"/>
    <cellStyle name="Heading 2 2 13" xfId="2779" xr:uid="{00000000-0005-0000-0000-00009B4C0000}"/>
    <cellStyle name="Heading 2 2 13 2" xfId="19582" xr:uid="{00000000-0005-0000-0000-00009C4C0000}"/>
    <cellStyle name="Heading 2 2 13 3" xfId="19581" xr:uid="{00000000-0005-0000-0000-00009D4C0000}"/>
    <cellStyle name="Heading 2 2 14" xfId="3153" xr:uid="{00000000-0005-0000-0000-00009E4C0000}"/>
    <cellStyle name="Heading 2 2 14 2" xfId="19584" xr:uid="{00000000-0005-0000-0000-00009F4C0000}"/>
    <cellStyle name="Heading 2 2 14 3" xfId="19583" xr:uid="{00000000-0005-0000-0000-0000A04C0000}"/>
    <cellStyle name="Heading 2 2 15" xfId="3524" xr:uid="{00000000-0005-0000-0000-0000A14C0000}"/>
    <cellStyle name="Heading 2 2 15 2" xfId="19586" xr:uid="{00000000-0005-0000-0000-0000A24C0000}"/>
    <cellStyle name="Heading 2 2 15 3" xfId="19585" xr:uid="{00000000-0005-0000-0000-0000A34C0000}"/>
    <cellStyle name="Heading 2 2 16" xfId="3662" xr:uid="{00000000-0005-0000-0000-0000A44C0000}"/>
    <cellStyle name="Heading 2 2 16 2" xfId="19588" xr:uid="{00000000-0005-0000-0000-0000A54C0000}"/>
    <cellStyle name="Heading 2 2 16 3" xfId="19587" xr:uid="{00000000-0005-0000-0000-0000A64C0000}"/>
    <cellStyle name="Heading 2 2 17" xfId="19589" xr:uid="{00000000-0005-0000-0000-0000A74C0000}"/>
    <cellStyle name="Heading 2 2 17 2" xfId="19590" xr:uid="{00000000-0005-0000-0000-0000A84C0000}"/>
    <cellStyle name="Heading 2 2 18" xfId="19591" xr:uid="{00000000-0005-0000-0000-0000A94C0000}"/>
    <cellStyle name="Heading 2 2 19" xfId="19574" xr:uid="{00000000-0005-0000-0000-0000AA4C0000}"/>
    <cellStyle name="Heading 2 2 2" xfId="143" xr:uid="{00000000-0005-0000-0000-0000AB4C0000}"/>
    <cellStyle name="Heading 2 2 2 2" xfId="155" xr:uid="{00000000-0005-0000-0000-0000AC4C0000}"/>
    <cellStyle name="Heading 2 2 2 2 2" xfId="19594" xr:uid="{00000000-0005-0000-0000-0000AD4C0000}"/>
    <cellStyle name="Heading 2 2 2 2 3" xfId="19593" xr:uid="{00000000-0005-0000-0000-0000AE4C0000}"/>
    <cellStyle name="Heading 2 2 2 3" xfId="319" xr:uid="{00000000-0005-0000-0000-0000AF4C0000}"/>
    <cellStyle name="Heading 2 2 2 3 2" xfId="19596" xr:uid="{00000000-0005-0000-0000-0000B04C0000}"/>
    <cellStyle name="Heading 2 2 2 3 3" xfId="19595" xr:uid="{00000000-0005-0000-0000-0000B14C0000}"/>
    <cellStyle name="Heading 2 2 2 4" xfId="2142" xr:uid="{00000000-0005-0000-0000-0000B24C0000}"/>
    <cellStyle name="Heading 2 2 2 4 2" xfId="19598" xr:uid="{00000000-0005-0000-0000-0000B34C0000}"/>
    <cellStyle name="Heading 2 2 2 4 3" xfId="19597" xr:uid="{00000000-0005-0000-0000-0000B44C0000}"/>
    <cellStyle name="Heading 2 2 2 5" xfId="2516" xr:uid="{00000000-0005-0000-0000-0000B54C0000}"/>
    <cellStyle name="Heading 2 2 2 5 2" xfId="19600" xr:uid="{00000000-0005-0000-0000-0000B64C0000}"/>
    <cellStyle name="Heading 2 2 2 5 3" xfId="19599" xr:uid="{00000000-0005-0000-0000-0000B74C0000}"/>
    <cellStyle name="Heading 2 2 2 6" xfId="2888" xr:uid="{00000000-0005-0000-0000-0000B84C0000}"/>
    <cellStyle name="Heading 2 2 2 6 2" xfId="19602" xr:uid="{00000000-0005-0000-0000-0000B94C0000}"/>
    <cellStyle name="Heading 2 2 2 6 3" xfId="19601" xr:uid="{00000000-0005-0000-0000-0000BA4C0000}"/>
    <cellStyle name="Heading 2 2 2 7" xfId="3259" xr:uid="{00000000-0005-0000-0000-0000BB4C0000}"/>
    <cellStyle name="Heading 2 2 2 7 2" xfId="19604" xr:uid="{00000000-0005-0000-0000-0000BC4C0000}"/>
    <cellStyle name="Heading 2 2 2 7 3" xfId="19603" xr:uid="{00000000-0005-0000-0000-0000BD4C0000}"/>
    <cellStyle name="Heading 2 2 2 8" xfId="19605" xr:uid="{00000000-0005-0000-0000-0000BE4C0000}"/>
    <cellStyle name="Heading 2 2 2 9" xfId="19592" xr:uid="{00000000-0005-0000-0000-0000BF4C0000}"/>
    <cellStyle name="Heading 2 2 20" xfId="24496" xr:uid="{00000000-0005-0000-0000-0000C04C0000}"/>
    <cellStyle name="Heading 2 2 3" xfId="308" xr:uid="{00000000-0005-0000-0000-0000C14C0000}"/>
    <cellStyle name="Heading 2 2 3 2" xfId="1318" xr:uid="{00000000-0005-0000-0000-0000C24C0000}"/>
    <cellStyle name="Heading 2 2 3 2 2" xfId="19607" xr:uid="{00000000-0005-0000-0000-0000C34C0000}"/>
    <cellStyle name="Heading 2 2 3 3" xfId="19606" xr:uid="{00000000-0005-0000-0000-0000C44C0000}"/>
    <cellStyle name="Heading 2 2 4" xfId="478" xr:uid="{00000000-0005-0000-0000-0000C54C0000}"/>
    <cellStyle name="Heading 2 2 4 2" xfId="19609" xr:uid="{00000000-0005-0000-0000-0000C64C0000}"/>
    <cellStyle name="Heading 2 2 4 3" xfId="19608" xr:uid="{00000000-0005-0000-0000-0000C74C0000}"/>
    <cellStyle name="Heading 2 2 5" xfId="609" xr:uid="{00000000-0005-0000-0000-0000C84C0000}"/>
    <cellStyle name="Heading 2 2 5 2" xfId="19611" xr:uid="{00000000-0005-0000-0000-0000C94C0000}"/>
    <cellStyle name="Heading 2 2 5 3" xfId="19610" xr:uid="{00000000-0005-0000-0000-0000CA4C0000}"/>
    <cellStyle name="Heading 2 2 6" xfId="762" xr:uid="{00000000-0005-0000-0000-0000CB4C0000}"/>
    <cellStyle name="Heading 2 2 6 2" xfId="19613" xr:uid="{00000000-0005-0000-0000-0000CC4C0000}"/>
    <cellStyle name="Heading 2 2 6 3" xfId="19612" xr:uid="{00000000-0005-0000-0000-0000CD4C0000}"/>
    <cellStyle name="Heading 2 2 7" xfId="763" xr:uid="{00000000-0005-0000-0000-0000CE4C0000}"/>
    <cellStyle name="Heading 2 2 7 2" xfId="19615" xr:uid="{00000000-0005-0000-0000-0000CF4C0000}"/>
    <cellStyle name="Heading 2 2 7 3" xfId="19614" xr:uid="{00000000-0005-0000-0000-0000D04C0000}"/>
    <cellStyle name="Heading 2 2 8" xfId="890" xr:uid="{00000000-0005-0000-0000-0000D14C0000}"/>
    <cellStyle name="Heading 2 2 8 2" xfId="1426" xr:uid="{00000000-0005-0000-0000-0000D24C0000}"/>
    <cellStyle name="Heading 2 2 8 2 2" xfId="19617" xr:uid="{00000000-0005-0000-0000-0000D34C0000}"/>
    <cellStyle name="Heading 2 2 8 3" xfId="19616" xr:uid="{00000000-0005-0000-0000-0000D44C0000}"/>
    <cellStyle name="Heading 2 2 9" xfId="982" xr:uid="{00000000-0005-0000-0000-0000D54C0000}"/>
    <cellStyle name="Heading 2 2 9 2" xfId="1551" xr:uid="{00000000-0005-0000-0000-0000D64C0000}"/>
    <cellStyle name="Heading 2 2 9 2 2" xfId="19619" xr:uid="{00000000-0005-0000-0000-0000D74C0000}"/>
    <cellStyle name="Heading 2 2 9 3" xfId="19618" xr:uid="{00000000-0005-0000-0000-0000D84C0000}"/>
    <cellStyle name="Heading 2 3" xfId="196" xr:uid="{00000000-0005-0000-0000-0000D94C0000}"/>
    <cellStyle name="Heading 2 3 10" xfId="3705" xr:uid="{00000000-0005-0000-0000-0000DA4C0000}"/>
    <cellStyle name="Heading 2 3 10 2" xfId="19622" xr:uid="{00000000-0005-0000-0000-0000DB4C0000}"/>
    <cellStyle name="Heading 2 3 10 3" xfId="19621" xr:uid="{00000000-0005-0000-0000-0000DC4C0000}"/>
    <cellStyle name="Heading 2 3 11" xfId="19623" xr:uid="{00000000-0005-0000-0000-0000DD4C0000}"/>
    <cellStyle name="Heading 2 3 11 2" xfId="19624" xr:uid="{00000000-0005-0000-0000-0000DE4C0000}"/>
    <cellStyle name="Heading 2 3 12" xfId="19625" xr:uid="{00000000-0005-0000-0000-0000DF4C0000}"/>
    <cellStyle name="Heading 2 3 13" xfId="19620" xr:uid="{00000000-0005-0000-0000-0000E04C0000}"/>
    <cellStyle name="Heading 2 3 2" xfId="1478" xr:uid="{00000000-0005-0000-0000-0000E14C0000}"/>
    <cellStyle name="Heading 2 3 2 2" xfId="1807" xr:uid="{00000000-0005-0000-0000-0000E24C0000}"/>
    <cellStyle name="Heading 2 3 2 2 2" xfId="19628" xr:uid="{00000000-0005-0000-0000-0000E34C0000}"/>
    <cellStyle name="Heading 2 3 2 2 3" xfId="19627" xr:uid="{00000000-0005-0000-0000-0000E44C0000}"/>
    <cellStyle name="Heading 2 3 2 3" xfId="2182" xr:uid="{00000000-0005-0000-0000-0000E54C0000}"/>
    <cellStyle name="Heading 2 3 2 3 2" xfId="19630" xr:uid="{00000000-0005-0000-0000-0000E64C0000}"/>
    <cellStyle name="Heading 2 3 2 3 3" xfId="19629" xr:uid="{00000000-0005-0000-0000-0000E74C0000}"/>
    <cellStyle name="Heading 2 3 2 4" xfId="2556" xr:uid="{00000000-0005-0000-0000-0000E84C0000}"/>
    <cellStyle name="Heading 2 3 2 4 2" xfId="19632" xr:uid="{00000000-0005-0000-0000-0000E94C0000}"/>
    <cellStyle name="Heading 2 3 2 4 3" xfId="19631" xr:uid="{00000000-0005-0000-0000-0000EA4C0000}"/>
    <cellStyle name="Heading 2 3 2 5" xfId="2928" xr:uid="{00000000-0005-0000-0000-0000EB4C0000}"/>
    <cellStyle name="Heading 2 3 2 5 2" xfId="19634" xr:uid="{00000000-0005-0000-0000-0000EC4C0000}"/>
    <cellStyle name="Heading 2 3 2 5 3" xfId="19633" xr:uid="{00000000-0005-0000-0000-0000ED4C0000}"/>
    <cellStyle name="Heading 2 3 2 6" xfId="3300" xr:uid="{00000000-0005-0000-0000-0000EE4C0000}"/>
    <cellStyle name="Heading 2 3 2 6 2" xfId="19636" xr:uid="{00000000-0005-0000-0000-0000EF4C0000}"/>
    <cellStyle name="Heading 2 3 2 6 3" xfId="19635" xr:uid="{00000000-0005-0000-0000-0000F04C0000}"/>
    <cellStyle name="Heading 2 3 2 7" xfId="19637" xr:uid="{00000000-0005-0000-0000-0000F14C0000}"/>
    <cellStyle name="Heading 2 3 2 8" xfId="19626" xr:uid="{00000000-0005-0000-0000-0000F24C0000}"/>
    <cellStyle name="Heading 2 3 3" xfId="1605" xr:uid="{00000000-0005-0000-0000-0000F34C0000}"/>
    <cellStyle name="Heading 2 3 3 2" xfId="1884" xr:uid="{00000000-0005-0000-0000-0000F44C0000}"/>
    <cellStyle name="Heading 2 3 3 2 2" xfId="19640" xr:uid="{00000000-0005-0000-0000-0000F54C0000}"/>
    <cellStyle name="Heading 2 3 3 2 3" xfId="19639" xr:uid="{00000000-0005-0000-0000-0000F64C0000}"/>
    <cellStyle name="Heading 2 3 3 3" xfId="2259" xr:uid="{00000000-0005-0000-0000-0000F74C0000}"/>
    <cellStyle name="Heading 2 3 3 3 2" xfId="19642" xr:uid="{00000000-0005-0000-0000-0000F84C0000}"/>
    <cellStyle name="Heading 2 3 3 3 3" xfId="19641" xr:uid="{00000000-0005-0000-0000-0000F94C0000}"/>
    <cellStyle name="Heading 2 3 3 4" xfId="2632" xr:uid="{00000000-0005-0000-0000-0000FA4C0000}"/>
    <cellStyle name="Heading 2 3 3 4 2" xfId="19644" xr:uid="{00000000-0005-0000-0000-0000FB4C0000}"/>
    <cellStyle name="Heading 2 3 3 4 3" xfId="19643" xr:uid="{00000000-0005-0000-0000-0000FC4C0000}"/>
    <cellStyle name="Heading 2 3 3 5" xfId="3005" xr:uid="{00000000-0005-0000-0000-0000FD4C0000}"/>
    <cellStyle name="Heading 2 3 3 5 2" xfId="19646" xr:uid="{00000000-0005-0000-0000-0000FE4C0000}"/>
    <cellStyle name="Heading 2 3 3 5 3" xfId="19645" xr:uid="{00000000-0005-0000-0000-0000FF4C0000}"/>
    <cellStyle name="Heading 2 3 3 6" xfId="3376" xr:uid="{00000000-0005-0000-0000-0000004D0000}"/>
    <cellStyle name="Heading 2 3 3 6 2" xfId="19648" xr:uid="{00000000-0005-0000-0000-0000014D0000}"/>
    <cellStyle name="Heading 2 3 3 6 3" xfId="19647" xr:uid="{00000000-0005-0000-0000-0000024D0000}"/>
    <cellStyle name="Heading 2 3 3 7" xfId="19649" xr:uid="{00000000-0005-0000-0000-0000034D0000}"/>
    <cellStyle name="Heading 2 3 3 8" xfId="19638" xr:uid="{00000000-0005-0000-0000-0000044D0000}"/>
    <cellStyle name="Heading 2 3 4" xfId="1744" xr:uid="{00000000-0005-0000-0000-0000054D0000}"/>
    <cellStyle name="Heading 2 3 4 2" xfId="1928" xr:uid="{00000000-0005-0000-0000-0000064D0000}"/>
    <cellStyle name="Heading 2 3 4 2 2" xfId="19652" xr:uid="{00000000-0005-0000-0000-0000074D0000}"/>
    <cellStyle name="Heading 2 3 4 2 3" xfId="19651" xr:uid="{00000000-0005-0000-0000-0000084D0000}"/>
    <cellStyle name="Heading 2 3 4 3" xfId="2303" xr:uid="{00000000-0005-0000-0000-0000094D0000}"/>
    <cellStyle name="Heading 2 3 4 3 2" xfId="19654" xr:uid="{00000000-0005-0000-0000-00000A4D0000}"/>
    <cellStyle name="Heading 2 3 4 3 3" xfId="19653" xr:uid="{00000000-0005-0000-0000-00000B4D0000}"/>
    <cellStyle name="Heading 2 3 4 4" xfId="2676" xr:uid="{00000000-0005-0000-0000-00000C4D0000}"/>
    <cellStyle name="Heading 2 3 4 4 2" xfId="19656" xr:uid="{00000000-0005-0000-0000-00000D4D0000}"/>
    <cellStyle name="Heading 2 3 4 4 3" xfId="19655" xr:uid="{00000000-0005-0000-0000-00000E4D0000}"/>
    <cellStyle name="Heading 2 3 4 5" xfId="3049" xr:uid="{00000000-0005-0000-0000-00000F4D0000}"/>
    <cellStyle name="Heading 2 3 4 5 2" xfId="19658" xr:uid="{00000000-0005-0000-0000-0000104D0000}"/>
    <cellStyle name="Heading 2 3 4 5 3" xfId="19657" xr:uid="{00000000-0005-0000-0000-0000114D0000}"/>
    <cellStyle name="Heading 2 3 4 6" xfId="3420" xr:uid="{00000000-0005-0000-0000-0000124D0000}"/>
    <cellStyle name="Heading 2 3 4 6 2" xfId="19660" xr:uid="{00000000-0005-0000-0000-0000134D0000}"/>
    <cellStyle name="Heading 2 3 4 6 3" xfId="19659" xr:uid="{00000000-0005-0000-0000-0000144D0000}"/>
    <cellStyle name="Heading 2 3 4 7" xfId="19661" xr:uid="{00000000-0005-0000-0000-0000154D0000}"/>
    <cellStyle name="Heading 2 3 4 8" xfId="19650" xr:uid="{00000000-0005-0000-0000-0000164D0000}"/>
    <cellStyle name="Heading 2 3 5" xfId="2079" xr:uid="{00000000-0005-0000-0000-0000174D0000}"/>
    <cellStyle name="Heading 2 3 5 2" xfId="19663" xr:uid="{00000000-0005-0000-0000-0000184D0000}"/>
    <cellStyle name="Heading 2 3 5 3" xfId="19662" xr:uid="{00000000-0005-0000-0000-0000194D0000}"/>
    <cellStyle name="Heading 2 3 6" xfId="2453" xr:uid="{00000000-0005-0000-0000-00001A4D0000}"/>
    <cellStyle name="Heading 2 3 6 2" xfId="19665" xr:uid="{00000000-0005-0000-0000-00001B4D0000}"/>
    <cellStyle name="Heading 2 3 6 3" xfId="19664" xr:uid="{00000000-0005-0000-0000-00001C4D0000}"/>
    <cellStyle name="Heading 2 3 7" xfId="2825" xr:uid="{00000000-0005-0000-0000-00001D4D0000}"/>
    <cellStyle name="Heading 2 3 7 2" xfId="19667" xr:uid="{00000000-0005-0000-0000-00001E4D0000}"/>
    <cellStyle name="Heading 2 3 7 3" xfId="19666" xr:uid="{00000000-0005-0000-0000-00001F4D0000}"/>
    <cellStyle name="Heading 2 3 8" xfId="3196" xr:uid="{00000000-0005-0000-0000-0000204D0000}"/>
    <cellStyle name="Heading 2 3 8 2" xfId="19669" xr:uid="{00000000-0005-0000-0000-0000214D0000}"/>
    <cellStyle name="Heading 2 3 8 3" xfId="19668" xr:uid="{00000000-0005-0000-0000-0000224D0000}"/>
    <cellStyle name="Heading 2 3 9" xfId="3569" xr:uid="{00000000-0005-0000-0000-0000234D0000}"/>
    <cellStyle name="Heading 2 3 9 2" xfId="19671" xr:uid="{00000000-0005-0000-0000-0000244D0000}"/>
    <cellStyle name="Heading 2 3 9 3" xfId="19670" xr:uid="{00000000-0005-0000-0000-0000254D0000}"/>
    <cellStyle name="Heading 2 4" xfId="265" xr:uid="{00000000-0005-0000-0000-0000264D0000}"/>
    <cellStyle name="Heading 2 4 10" xfId="3749" xr:uid="{00000000-0005-0000-0000-0000274D0000}"/>
    <cellStyle name="Heading 2 4 10 2" xfId="19674" xr:uid="{00000000-0005-0000-0000-0000284D0000}"/>
    <cellStyle name="Heading 2 4 10 3" xfId="19673" xr:uid="{00000000-0005-0000-0000-0000294D0000}"/>
    <cellStyle name="Heading 2 4 11" xfId="1278" xr:uid="{00000000-0005-0000-0000-00002A4D0000}"/>
    <cellStyle name="Heading 2 4 11 2" xfId="19676" xr:uid="{00000000-0005-0000-0000-00002B4D0000}"/>
    <cellStyle name="Heading 2 4 11 3" xfId="19675" xr:uid="{00000000-0005-0000-0000-00002C4D0000}"/>
    <cellStyle name="Heading 2 4 12" xfId="19677" xr:uid="{00000000-0005-0000-0000-00002D4D0000}"/>
    <cellStyle name="Heading 2 4 13" xfId="19672" xr:uid="{00000000-0005-0000-0000-00002E4D0000}"/>
    <cellStyle name="Heading 2 4 2" xfId="1523" xr:uid="{00000000-0005-0000-0000-00002F4D0000}"/>
    <cellStyle name="Heading 2 4 2 2" xfId="19679" xr:uid="{00000000-0005-0000-0000-0000304D0000}"/>
    <cellStyle name="Heading 2 4 2 3" xfId="19678" xr:uid="{00000000-0005-0000-0000-0000314D0000}"/>
    <cellStyle name="Heading 2 4 3" xfId="1648" xr:uid="{00000000-0005-0000-0000-0000324D0000}"/>
    <cellStyle name="Heading 2 4 3 2" xfId="19681" xr:uid="{00000000-0005-0000-0000-0000334D0000}"/>
    <cellStyle name="Heading 2 4 3 3" xfId="19680" xr:uid="{00000000-0005-0000-0000-0000344D0000}"/>
    <cellStyle name="Heading 2 4 4" xfId="1778" xr:uid="{00000000-0005-0000-0000-0000354D0000}"/>
    <cellStyle name="Heading 2 4 4 2" xfId="19683" xr:uid="{00000000-0005-0000-0000-0000364D0000}"/>
    <cellStyle name="Heading 2 4 4 3" xfId="19682" xr:uid="{00000000-0005-0000-0000-0000374D0000}"/>
    <cellStyle name="Heading 2 4 5" xfId="2113" xr:uid="{00000000-0005-0000-0000-0000384D0000}"/>
    <cellStyle name="Heading 2 4 5 2" xfId="19685" xr:uid="{00000000-0005-0000-0000-0000394D0000}"/>
    <cellStyle name="Heading 2 4 5 3" xfId="19684" xr:uid="{00000000-0005-0000-0000-00003A4D0000}"/>
    <cellStyle name="Heading 2 4 6" xfId="2487" xr:uid="{00000000-0005-0000-0000-00003B4D0000}"/>
    <cellStyle name="Heading 2 4 6 2" xfId="19687" xr:uid="{00000000-0005-0000-0000-00003C4D0000}"/>
    <cellStyle name="Heading 2 4 6 3" xfId="19686" xr:uid="{00000000-0005-0000-0000-00003D4D0000}"/>
    <cellStyle name="Heading 2 4 7" xfId="2859" xr:uid="{00000000-0005-0000-0000-00003E4D0000}"/>
    <cellStyle name="Heading 2 4 7 2" xfId="19689" xr:uid="{00000000-0005-0000-0000-00003F4D0000}"/>
    <cellStyle name="Heading 2 4 7 3" xfId="19688" xr:uid="{00000000-0005-0000-0000-0000404D0000}"/>
    <cellStyle name="Heading 2 4 8" xfId="3230" xr:uid="{00000000-0005-0000-0000-0000414D0000}"/>
    <cellStyle name="Heading 2 4 8 2" xfId="19691" xr:uid="{00000000-0005-0000-0000-0000424D0000}"/>
    <cellStyle name="Heading 2 4 8 3" xfId="19690" xr:uid="{00000000-0005-0000-0000-0000434D0000}"/>
    <cellStyle name="Heading 2 4 9" xfId="3612" xr:uid="{00000000-0005-0000-0000-0000444D0000}"/>
    <cellStyle name="Heading 2 4 9 2" xfId="19693" xr:uid="{00000000-0005-0000-0000-0000454D0000}"/>
    <cellStyle name="Heading 2 4 9 3" xfId="19692" xr:uid="{00000000-0005-0000-0000-0000464D0000}"/>
    <cellStyle name="Heading 2 5" xfId="479" xr:uid="{00000000-0005-0000-0000-0000474D0000}"/>
    <cellStyle name="Heading 2 5 2" xfId="1851" xr:uid="{00000000-0005-0000-0000-0000484D0000}"/>
    <cellStyle name="Heading 2 5 2 2" xfId="19696" xr:uid="{00000000-0005-0000-0000-0000494D0000}"/>
    <cellStyle name="Heading 2 5 2 3" xfId="19695" xr:uid="{00000000-0005-0000-0000-00004A4D0000}"/>
    <cellStyle name="Heading 2 5 3" xfId="2226" xr:uid="{00000000-0005-0000-0000-00004B4D0000}"/>
    <cellStyle name="Heading 2 5 3 2" xfId="19698" xr:uid="{00000000-0005-0000-0000-00004C4D0000}"/>
    <cellStyle name="Heading 2 5 3 3" xfId="19697" xr:uid="{00000000-0005-0000-0000-00004D4D0000}"/>
    <cellStyle name="Heading 2 5 4" xfId="2600" xr:uid="{00000000-0005-0000-0000-00004E4D0000}"/>
    <cellStyle name="Heading 2 5 4 2" xfId="19700" xr:uid="{00000000-0005-0000-0000-00004F4D0000}"/>
    <cellStyle name="Heading 2 5 4 3" xfId="19699" xr:uid="{00000000-0005-0000-0000-0000504D0000}"/>
    <cellStyle name="Heading 2 5 5" xfId="2972" xr:uid="{00000000-0005-0000-0000-0000514D0000}"/>
    <cellStyle name="Heading 2 5 5 2" xfId="19702" xr:uid="{00000000-0005-0000-0000-0000524D0000}"/>
    <cellStyle name="Heading 2 5 5 3" xfId="19701" xr:uid="{00000000-0005-0000-0000-0000534D0000}"/>
    <cellStyle name="Heading 2 5 6" xfId="3344" xr:uid="{00000000-0005-0000-0000-0000544D0000}"/>
    <cellStyle name="Heading 2 5 6 2" xfId="19704" xr:uid="{00000000-0005-0000-0000-0000554D0000}"/>
    <cellStyle name="Heading 2 5 6 3" xfId="19703" xr:uid="{00000000-0005-0000-0000-0000564D0000}"/>
    <cellStyle name="Heading 2 5 7" xfId="19705" xr:uid="{00000000-0005-0000-0000-0000574D0000}"/>
    <cellStyle name="Heading 2 5 7 2" xfId="19706" xr:uid="{00000000-0005-0000-0000-0000584D0000}"/>
    <cellStyle name="Heading 2 5 8" xfId="19707" xr:uid="{00000000-0005-0000-0000-0000594D0000}"/>
    <cellStyle name="Heading 2 5 9" xfId="19694" xr:uid="{00000000-0005-0000-0000-00005A4D0000}"/>
    <cellStyle name="Heading 2 6" xfId="480" xr:uid="{00000000-0005-0000-0000-00005B4D0000}"/>
    <cellStyle name="Heading 2 6 10" xfId="19708" xr:uid="{00000000-0005-0000-0000-00005C4D0000}"/>
    <cellStyle name="Heading 2 6 2" xfId="1999" xr:uid="{00000000-0005-0000-0000-00005D4D0000}"/>
    <cellStyle name="Heading 2 6 2 2" xfId="19710" xr:uid="{00000000-0005-0000-0000-00005E4D0000}"/>
    <cellStyle name="Heading 2 6 2 3" xfId="19709" xr:uid="{00000000-0005-0000-0000-00005F4D0000}"/>
    <cellStyle name="Heading 2 6 3" xfId="2374" xr:uid="{00000000-0005-0000-0000-0000604D0000}"/>
    <cellStyle name="Heading 2 6 3 2" xfId="19712" xr:uid="{00000000-0005-0000-0000-0000614D0000}"/>
    <cellStyle name="Heading 2 6 3 3" xfId="19711" xr:uid="{00000000-0005-0000-0000-0000624D0000}"/>
    <cellStyle name="Heading 2 6 4" xfId="2747" xr:uid="{00000000-0005-0000-0000-0000634D0000}"/>
    <cellStyle name="Heading 2 6 4 2" xfId="19714" xr:uid="{00000000-0005-0000-0000-0000644D0000}"/>
    <cellStyle name="Heading 2 6 4 3" xfId="19713" xr:uid="{00000000-0005-0000-0000-0000654D0000}"/>
    <cellStyle name="Heading 2 6 5" xfId="3120" xr:uid="{00000000-0005-0000-0000-0000664D0000}"/>
    <cellStyle name="Heading 2 6 5 2" xfId="19716" xr:uid="{00000000-0005-0000-0000-0000674D0000}"/>
    <cellStyle name="Heading 2 6 5 3" xfId="19715" xr:uid="{00000000-0005-0000-0000-0000684D0000}"/>
    <cellStyle name="Heading 2 6 6" xfId="3491" xr:uid="{00000000-0005-0000-0000-0000694D0000}"/>
    <cellStyle name="Heading 2 6 6 2" xfId="19718" xr:uid="{00000000-0005-0000-0000-00006A4D0000}"/>
    <cellStyle name="Heading 2 6 6 3" xfId="19717" xr:uid="{00000000-0005-0000-0000-00006B4D0000}"/>
    <cellStyle name="Heading 2 6 7" xfId="3797" xr:uid="{00000000-0005-0000-0000-00006C4D0000}"/>
    <cellStyle name="Heading 2 6 7 2" xfId="19720" xr:uid="{00000000-0005-0000-0000-00006D4D0000}"/>
    <cellStyle name="Heading 2 6 7 3" xfId="19719" xr:uid="{00000000-0005-0000-0000-00006E4D0000}"/>
    <cellStyle name="Heading 2 6 8" xfId="19721" xr:uid="{00000000-0005-0000-0000-00006F4D0000}"/>
    <cellStyle name="Heading 2 6 8 2" xfId="19722" xr:uid="{00000000-0005-0000-0000-0000704D0000}"/>
    <cellStyle name="Heading 2 6 9" xfId="19723" xr:uid="{00000000-0005-0000-0000-0000714D0000}"/>
    <cellStyle name="Heading 2 7" xfId="481" xr:uid="{00000000-0005-0000-0000-0000724D0000}"/>
    <cellStyle name="Heading 2 7 2" xfId="19725" xr:uid="{00000000-0005-0000-0000-0000734D0000}"/>
    <cellStyle name="Heading 2 7 3" xfId="19724" xr:uid="{00000000-0005-0000-0000-0000744D0000}"/>
    <cellStyle name="Heading 2 8" xfId="610" xr:uid="{00000000-0005-0000-0000-0000754D0000}"/>
    <cellStyle name="Heading 2 8 2" xfId="19727" xr:uid="{00000000-0005-0000-0000-0000764D0000}"/>
    <cellStyle name="Heading 2 8 3" xfId="19726" xr:uid="{00000000-0005-0000-0000-0000774D0000}"/>
    <cellStyle name="Heading 2 9" xfId="611" xr:uid="{00000000-0005-0000-0000-0000784D0000}"/>
    <cellStyle name="Heading 2 9 2" xfId="19729" xr:uid="{00000000-0005-0000-0000-0000794D0000}"/>
    <cellStyle name="Heading 2 9 3" xfId="19728" xr:uid="{00000000-0005-0000-0000-00007A4D0000}"/>
    <cellStyle name="Heading 3 10" xfId="764" xr:uid="{00000000-0005-0000-0000-00007B4D0000}"/>
    <cellStyle name="Heading 3 10 2" xfId="19732" xr:uid="{00000000-0005-0000-0000-00007C4D0000}"/>
    <cellStyle name="Heading 3 10 3" xfId="19731" xr:uid="{00000000-0005-0000-0000-00007D4D0000}"/>
    <cellStyle name="Heading 3 11" xfId="765" xr:uid="{00000000-0005-0000-0000-00007E4D0000}"/>
    <cellStyle name="Heading 3 11 2" xfId="19734" xr:uid="{00000000-0005-0000-0000-00007F4D0000}"/>
    <cellStyle name="Heading 3 11 3" xfId="19733" xr:uid="{00000000-0005-0000-0000-0000804D0000}"/>
    <cellStyle name="Heading 3 12" xfId="891" xr:uid="{00000000-0005-0000-0000-0000814D0000}"/>
    <cellStyle name="Heading 3 12 2" xfId="19735" xr:uid="{00000000-0005-0000-0000-0000824D0000}"/>
    <cellStyle name="Heading 3 13" xfId="892" xr:uid="{00000000-0005-0000-0000-0000834D0000}"/>
    <cellStyle name="Heading 3 13 2" xfId="19730" xr:uid="{00000000-0005-0000-0000-0000844D0000}"/>
    <cellStyle name="Heading 3 14" xfId="983" xr:uid="{00000000-0005-0000-0000-0000854D0000}"/>
    <cellStyle name="Heading 3 2" xfId="100" xr:uid="{00000000-0005-0000-0000-0000864D0000}"/>
    <cellStyle name="Heading 3 2 10" xfId="1698" xr:uid="{00000000-0005-0000-0000-0000874D0000}"/>
    <cellStyle name="Heading 3 2 10 2" xfId="19738" xr:uid="{00000000-0005-0000-0000-0000884D0000}"/>
    <cellStyle name="Heading 3 2 10 3" xfId="19737" xr:uid="{00000000-0005-0000-0000-0000894D0000}"/>
    <cellStyle name="Heading 3 2 11" xfId="2033" xr:uid="{00000000-0005-0000-0000-00008A4D0000}"/>
    <cellStyle name="Heading 3 2 11 2" xfId="19740" xr:uid="{00000000-0005-0000-0000-00008B4D0000}"/>
    <cellStyle name="Heading 3 2 11 3" xfId="19739" xr:uid="{00000000-0005-0000-0000-00008C4D0000}"/>
    <cellStyle name="Heading 3 2 12" xfId="2407" xr:uid="{00000000-0005-0000-0000-00008D4D0000}"/>
    <cellStyle name="Heading 3 2 12 2" xfId="19742" xr:uid="{00000000-0005-0000-0000-00008E4D0000}"/>
    <cellStyle name="Heading 3 2 12 3" xfId="19741" xr:uid="{00000000-0005-0000-0000-00008F4D0000}"/>
    <cellStyle name="Heading 3 2 13" xfId="2780" xr:uid="{00000000-0005-0000-0000-0000904D0000}"/>
    <cellStyle name="Heading 3 2 13 2" xfId="19744" xr:uid="{00000000-0005-0000-0000-0000914D0000}"/>
    <cellStyle name="Heading 3 2 13 3" xfId="19743" xr:uid="{00000000-0005-0000-0000-0000924D0000}"/>
    <cellStyle name="Heading 3 2 14" xfId="3154" xr:uid="{00000000-0005-0000-0000-0000934D0000}"/>
    <cellStyle name="Heading 3 2 14 2" xfId="19746" xr:uid="{00000000-0005-0000-0000-0000944D0000}"/>
    <cellStyle name="Heading 3 2 14 3" xfId="19745" xr:uid="{00000000-0005-0000-0000-0000954D0000}"/>
    <cellStyle name="Heading 3 2 15" xfId="3525" xr:uid="{00000000-0005-0000-0000-0000964D0000}"/>
    <cellStyle name="Heading 3 2 15 2" xfId="19748" xr:uid="{00000000-0005-0000-0000-0000974D0000}"/>
    <cellStyle name="Heading 3 2 15 3" xfId="19747" xr:uid="{00000000-0005-0000-0000-0000984D0000}"/>
    <cellStyle name="Heading 3 2 16" xfId="3663" xr:uid="{00000000-0005-0000-0000-0000994D0000}"/>
    <cellStyle name="Heading 3 2 16 2" xfId="19750" xr:uid="{00000000-0005-0000-0000-00009A4D0000}"/>
    <cellStyle name="Heading 3 2 16 3" xfId="19749" xr:uid="{00000000-0005-0000-0000-00009B4D0000}"/>
    <cellStyle name="Heading 3 2 17" xfId="19751" xr:uid="{00000000-0005-0000-0000-00009C4D0000}"/>
    <cellStyle name="Heading 3 2 17 2" xfId="19752" xr:uid="{00000000-0005-0000-0000-00009D4D0000}"/>
    <cellStyle name="Heading 3 2 18" xfId="19753" xr:uid="{00000000-0005-0000-0000-00009E4D0000}"/>
    <cellStyle name="Heading 3 2 19" xfId="19736" xr:uid="{00000000-0005-0000-0000-00009F4D0000}"/>
    <cellStyle name="Heading 3 2 2" xfId="144" xr:uid="{00000000-0005-0000-0000-0000A04D0000}"/>
    <cellStyle name="Heading 3 2 2 2" xfId="156" xr:uid="{00000000-0005-0000-0000-0000A14D0000}"/>
    <cellStyle name="Heading 3 2 2 2 2" xfId="19756" xr:uid="{00000000-0005-0000-0000-0000A24D0000}"/>
    <cellStyle name="Heading 3 2 2 2 3" xfId="19755" xr:uid="{00000000-0005-0000-0000-0000A34D0000}"/>
    <cellStyle name="Heading 3 2 2 3" xfId="320" xr:uid="{00000000-0005-0000-0000-0000A44D0000}"/>
    <cellStyle name="Heading 3 2 2 3 2" xfId="19758" xr:uid="{00000000-0005-0000-0000-0000A54D0000}"/>
    <cellStyle name="Heading 3 2 2 3 3" xfId="19757" xr:uid="{00000000-0005-0000-0000-0000A64D0000}"/>
    <cellStyle name="Heading 3 2 2 4" xfId="2143" xr:uid="{00000000-0005-0000-0000-0000A74D0000}"/>
    <cellStyle name="Heading 3 2 2 4 2" xfId="19760" xr:uid="{00000000-0005-0000-0000-0000A84D0000}"/>
    <cellStyle name="Heading 3 2 2 4 3" xfId="19759" xr:uid="{00000000-0005-0000-0000-0000A94D0000}"/>
    <cellStyle name="Heading 3 2 2 5" xfId="2517" xr:uid="{00000000-0005-0000-0000-0000AA4D0000}"/>
    <cellStyle name="Heading 3 2 2 5 2" xfId="19762" xr:uid="{00000000-0005-0000-0000-0000AB4D0000}"/>
    <cellStyle name="Heading 3 2 2 5 3" xfId="19761" xr:uid="{00000000-0005-0000-0000-0000AC4D0000}"/>
    <cellStyle name="Heading 3 2 2 6" xfId="2889" xr:uid="{00000000-0005-0000-0000-0000AD4D0000}"/>
    <cellStyle name="Heading 3 2 2 6 2" xfId="19764" xr:uid="{00000000-0005-0000-0000-0000AE4D0000}"/>
    <cellStyle name="Heading 3 2 2 6 3" xfId="19763" xr:uid="{00000000-0005-0000-0000-0000AF4D0000}"/>
    <cellStyle name="Heading 3 2 2 7" xfId="3260" xr:uid="{00000000-0005-0000-0000-0000B04D0000}"/>
    <cellStyle name="Heading 3 2 2 7 2" xfId="19766" xr:uid="{00000000-0005-0000-0000-0000B14D0000}"/>
    <cellStyle name="Heading 3 2 2 7 3" xfId="19765" xr:uid="{00000000-0005-0000-0000-0000B24D0000}"/>
    <cellStyle name="Heading 3 2 2 8" xfId="19767" xr:uid="{00000000-0005-0000-0000-0000B34D0000}"/>
    <cellStyle name="Heading 3 2 2 9" xfId="19754" xr:uid="{00000000-0005-0000-0000-0000B44D0000}"/>
    <cellStyle name="Heading 3 2 20" xfId="24497" xr:uid="{00000000-0005-0000-0000-0000B54D0000}"/>
    <cellStyle name="Heading 3 2 3" xfId="309" xr:uid="{00000000-0005-0000-0000-0000B64D0000}"/>
    <cellStyle name="Heading 3 2 3 2" xfId="1319" xr:uid="{00000000-0005-0000-0000-0000B74D0000}"/>
    <cellStyle name="Heading 3 2 3 2 2" xfId="19769" xr:uid="{00000000-0005-0000-0000-0000B84D0000}"/>
    <cellStyle name="Heading 3 2 3 3" xfId="19768" xr:uid="{00000000-0005-0000-0000-0000B94D0000}"/>
    <cellStyle name="Heading 3 2 4" xfId="482" xr:uid="{00000000-0005-0000-0000-0000BA4D0000}"/>
    <cellStyle name="Heading 3 2 4 2" xfId="19771" xr:uid="{00000000-0005-0000-0000-0000BB4D0000}"/>
    <cellStyle name="Heading 3 2 4 3" xfId="19770" xr:uid="{00000000-0005-0000-0000-0000BC4D0000}"/>
    <cellStyle name="Heading 3 2 5" xfId="612" xr:uid="{00000000-0005-0000-0000-0000BD4D0000}"/>
    <cellStyle name="Heading 3 2 5 2" xfId="19773" xr:uid="{00000000-0005-0000-0000-0000BE4D0000}"/>
    <cellStyle name="Heading 3 2 5 3" xfId="19772" xr:uid="{00000000-0005-0000-0000-0000BF4D0000}"/>
    <cellStyle name="Heading 3 2 6" xfId="766" xr:uid="{00000000-0005-0000-0000-0000C04D0000}"/>
    <cellStyle name="Heading 3 2 6 2" xfId="19775" xr:uid="{00000000-0005-0000-0000-0000C14D0000}"/>
    <cellStyle name="Heading 3 2 6 3" xfId="19774" xr:uid="{00000000-0005-0000-0000-0000C24D0000}"/>
    <cellStyle name="Heading 3 2 7" xfId="767" xr:uid="{00000000-0005-0000-0000-0000C34D0000}"/>
    <cellStyle name="Heading 3 2 7 2" xfId="19777" xr:uid="{00000000-0005-0000-0000-0000C44D0000}"/>
    <cellStyle name="Heading 3 2 7 3" xfId="19776" xr:uid="{00000000-0005-0000-0000-0000C54D0000}"/>
    <cellStyle name="Heading 3 2 8" xfId="893" xr:uid="{00000000-0005-0000-0000-0000C64D0000}"/>
    <cellStyle name="Heading 3 2 8 2" xfId="1427" xr:uid="{00000000-0005-0000-0000-0000C74D0000}"/>
    <cellStyle name="Heading 3 2 8 2 2" xfId="19779" xr:uid="{00000000-0005-0000-0000-0000C84D0000}"/>
    <cellStyle name="Heading 3 2 8 3" xfId="19778" xr:uid="{00000000-0005-0000-0000-0000C94D0000}"/>
    <cellStyle name="Heading 3 2 9" xfId="984" xr:uid="{00000000-0005-0000-0000-0000CA4D0000}"/>
    <cellStyle name="Heading 3 2 9 2" xfId="1550" xr:uid="{00000000-0005-0000-0000-0000CB4D0000}"/>
    <cellStyle name="Heading 3 2 9 2 2" xfId="19781" xr:uid="{00000000-0005-0000-0000-0000CC4D0000}"/>
    <cellStyle name="Heading 3 2 9 3" xfId="19780" xr:uid="{00000000-0005-0000-0000-0000CD4D0000}"/>
    <cellStyle name="Heading 3 3" xfId="197" xr:uid="{00000000-0005-0000-0000-0000CE4D0000}"/>
    <cellStyle name="Heading 3 3 10" xfId="3706" xr:uid="{00000000-0005-0000-0000-0000CF4D0000}"/>
    <cellStyle name="Heading 3 3 10 2" xfId="19784" xr:uid="{00000000-0005-0000-0000-0000D04D0000}"/>
    <cellStyle name="Heading 3 3 10 3" xfId="19783" xr:uid="{00000000-0005-0000-0000-0000D14D0000}"/>
    <cellStyle name="Heading 3 3 11" xfId="19785" xr:uid="{00000000-0005-0000-0000-0000D24D0000}"/>
    <cellStyle name="Heading 3 3 11 2" xfId="19786" xr:uid="{00000000-0005-0000-0000-0000D34D0000}"/>
    <cellStyle name="Heading 3 3 12" xfId="19787" xr:uid="{00000000-0005-0000-0000-0000D44D0000}"/>
    <cellStyle name="Heading 3 3 13" xfId="19782" xr:uid="{00000000-0005-0000-0000-0000D54D0000}"/>
    <cellStyle name="Heading 3 3 2" xfId="1479" xr:uid="{00000000-0005-0000-0000-0000D64D0000}"/>
    <cellStyle name="Heading 3 3 2 2" xfId="1808" xr:uid="{00000000-0005-0000-0000-0000D74D0000}"/>
    <cellStyle name="Heading 3 3 2 2 2" xfId="19790" xr:uid="{00000000-0005-0000-0000-0000D84D0000}"/>
    <cellStyle name="Heading 3 3 2 2 3" xfId="19789" xr:uid="{00000000-0005-0000-0000-0000D94D0000}"/>
    <cellStyle name="Heading 3 3 2 3" xfId="2183" xr:uid="{00000000-0005-0000-0000-0000DA4D0000}"/>
    <cellStyle name="Heading 3 3 2 3 2" xfId="19792" xr:uid="{00000000-0005-0000-0000-0000DB4D0000}"/>
    <cellStyle name="Heading 3 3 2 3 3" xfId="19791" xr:uid="{00000000-0005-0000-0000-0000DC4D0000}"/>
    <cellStyle name="Heading 3 3 2 4" xfId="2557" xr:uid="{00000000-0005-0000-0000-0000DD4D0000}"/>
    <cellStyle name="Heading 3 3 2 4 2" xfId="19794" xr:uid="{00000000-0005-0000-0000-0000DE4D0000}"/>
    <cellStyle name="Heading 3 3 2 4 3" xfId="19793" xr:uid="{00000000-0005-0000-0000-0000DF4D0000}"/>
    <cellStyle name="Heading 3 3 2 5" xfId="2929" xr:uid="{00000000-0005-0000-0000-0000E04D0000}"/>
    <cellStyle name="Heading 3 3 2 5 2" xfId="19796" xr:uid="{00000000-0005-0000-0000-0000E14D0000}"/>
    <cellStyle name="Heading 3 3 2 5 3" xfId="19795" xr:uid="{00000000-0005-0000-0000-0000E24D0000}"/>
    <cellStyle name="Heading 3 3 2 6" xfId="3301" xr:uid="{00000000-0005-0000-0000-0000E34D0000}"/>
    <cellStyle name="Heading 3 3 2 6 2" xfId="19798" xr:uid="{00000000-0005-0000-0000-0000E44D0000}"/>
    <cellStyle name="Heading 3 3 2 6 3" xfId="19797" xr:uid="{00000000-0005-0000-0000-0000E54D0000}"/>
    <cellStyle name="Heading 3 3 2 7" xfId="19799" xr:uid="{00000000-0005-0000-0000-0000E64D0000}"/>
    <cellStyle name="Heading 3 3 2 8" xfId="19788" xr:uid="{00000000-0005-0000-0000-0000E74D0000}"/>
    <cellStyle name="Heading 3 3 3" xfId="1606" xr:uid="{00000000-0005-0000-0000-0000E84D0000}"/>
    <cellStyle name="Heading 3 3 3 2" xfId="1885" xr:uid="{00000000-0005-0000-0000-0000E94D0000}"/>
    <cellStyle name="Heading 3 3 3 2 2" xfId="19802" xr:uid="{00000000-0005-0000-0000-0000EA4D0000}"/>
    <cellStyle name="Heading 3 3 3 2 3" xfId="19801" xr:uid="{00000000-0005-0000-0000-0000EB4D0000}"/>
    <cellStyle name="Heading 3 3 3 3" xfId="2260" xr:uid="{00000000-0005-0000-0000-0000EC4D0000}"/>
    <cellStyle name="Heading 3 3 3 3 2" xfId="19804" xr:uid="{00000000-0005-0000-0000-0000ED4D0000}"/>
    <cellStyle name="Heading 3 3 3 3 3" xfId="19803" xr:uid="{00000000-0005-0000-0000-0000EE4D0000}"/>
    <cellStyle name="Heading 3 3 3 4" xfId="2633" xr:uid="{00000000-0005-0000-0000-0000EF4D0000}"/>
    <cellStyle name="Heading 3 3 3 4 2" xfId="19806" xr:uid="{00000000-0005-0000-0000-0000F04D0000}"/>
    <cellStyle name="Heading 3 3 3 4 3" xfId="19805" xr:uid="{00000000-0005-0000-0000-0000F14D0000}"/>
    <cellStyle name="Heading 3 3 3 5" xfId="3006" xr:uid="{00000000-0005-0000-0000-0000F24D0000}"/>
    <cellStyle name="Heading 3 3 3 5 2" xfId="19808" xr:uid="{00000000-0005-0000-0000-0000F34D0000}"/>
    <cellStyle name="Heading 3 3 3 5 3" xfId="19807" xr:uid="{00000000-0005-0000-0000-0000F44D0000}"/>
    <cellStyle name="Heading 3 3 3 6" xfId="3377" xr:uid="{00000000-0005-0000-0000-0000F54D0000}"/>
    <cellStyle name="Heading 3 3 3 6 2" xfId="19810" xr:uid="{00000000-0005-0000-0000-0000F64D0000}"/>
    <cellStyle name="Heading 3 3 3 6 3" xfId="19809" xr:uid="{00000000-0005-0000-0000-0000F74D0000}"/>
    <cellStyle name="Heading 3 3 3 7" xfId="19811" xr:uid="{00000000-0005-0000-0000-0000F84D0000}"/>
    <cellStyle name="Heading 3 3 3 8" xfId="19800" xr:uid="{00000000-0005-0000-0000-0000F94D0000}"/>
    <cellStyle name="Heading 3 3 4" xfId="1745" xr:uid="{00000000-0005-0000-0000-0000FA4D0000}"/>
    <cellStyle name="Heading 3 3 4 2" xfId="1929" xr:uid="{00000000-0005-0000-0000-0000FB4D0000}"/>
    <cellStyle name="Heading 3 3 4 2 2" xfId="19814" xr:uid="{00000000-0005-0000-0000-0000FC4D0000}"/>
    <cellStyle name="Heading 3 3 4 2 3" xfId="19813" xr:uid="{00000000-0005-0000-0000-0000FD4D0000}"/>
    <cellStyle name="Heading 3 3 4 3" xfId="2304" xr:uid="{00000000-0005-0000-0000-0000FE4D0000}"/>
    <cellStyle name="Heading 3 3 4 3 2" xfId="19816" xr:uid="{00000000-0005-0000-0000-0000FF4D0000}"/>
    <cellStyle name="Heading 3 3 4 3 3" xfId="19815" xr:uid="{00000000-0005-0000-0000-0000004E0000}"/>
    <cellStyle name="Heading 3 3 4 4" xfId="2677" xr:uid="{00000000-0005-0000-0000-0000014E0000}"/>
    <cellStyle name="Heading 3 3 4 4 2" xfId="19818" xr:uid="{00000000-0005-0000-0000-0000024E0000}"/>
    <cellStyle name="Heading 3 3 4 4 3" xfId="19817" xr:uid="{00000000-0005-0000-0000-0000034E0000}"/>
    <cellStyle name="Heading 3 3 4 5" xfId="3050" xr:uid="{00000000-0005-0000-0000-0000044E0000}"/>
    <cellStyle name="Heading 3 3 4 5 2" xfId="19820" xr:uid="{00000000-0005-0000-0000-0000054E0000}"/>
    <cellStyle name="Heading 3 3 4 5 3" xfId="19819" xr:uid="{00000000-0005-0000-0000-0000064E0000}"/>
    <cellStyle name="Heading 3 3 4 6" xfId="3421" xr:uid="{00000000-0005-0000-0000-0000074E0000}"/>
    <cellStyle name="Heading 3 3 4 6 2" xfId="19822" xr:uid="{00000000-0005-0000-0000-0000084E0000}"/>
    <cellStyle name="Heading 3 3 4 6 3" xfId="19821" xr:uid="{00000000-0005-0000-0000-0000094E0000}"/>
    <cellStyle name="Heading 3 3 4 7" xfId="19823" xr:uid="{00000000-0005-0000-0000-00000A4E0000}"/>
    <cellStyle name="Heading 3 3 4 8" xfId="19812" xr:uid="{00000000-0005-0000-0000-00000B4E0000}"/>
    <cellStyle name="Heading 3 3 5" xfId="2080" xr:uid="{00000000-0005-0000-0000-00000C4E0000}"/>
    <cellStyle name="Heading 3 3 5 2" xfId="19825" xr:uid="{00000000-0005-0000-0000-00000D4E0000}"/>
    <cellStyle name="Heading 3 3 5 3" xfId="19824" xr:uid="{00000000-0005-0000-0000-00000E4E0000}"/>
    <cellStyle name="Heading 3 3 6" xfId="2454" xr:uid="{00000000-0005-0000-0000-00000F4E0000}"/>
    <cellStyle name="Heading 3 3 6 2" xfId="19827" xr:uid="{00000000-0005-0000-0000-0000104E0000}"/>
    <cellStyle name="Heading 3 3 6 3" xfId="19826" xr:uid="{00000000-0005-0000-0000-0000114E0000}"/>
    <cellStyle name="Heading 3 3 7" xfId="2826" xr:uid="{00000000-0005-0000-0000-0000124E0000}"/>
    <cellStyle name="Heading 3 3 7 2" xfId="19829" xr:uid="{00000000-0005-0000-0000-0000134E0000}"/>
    <cellStyle name="Heading 3 3 7 3" xfId="19828" xr:uid="{00000000-0005-0000-0000-0000144E0000}"/>
    <cellStyle name="Heading 3 3 8" xfId="3197" xr:uid="{00000000-0005-0000-0000-0000154E0000}"/>
    <cellStyle name="Heading 3 3 8 2" xfId="19831" xr:uid="{00000000-0005-0000-0000-0000164E0000}"/>
    <cellStyle name="Heading 3 3 8 3" xfId="19830" xr:uid="{00000000-0005-0000-0000-0000174E0000}"/>
    <cellStyle name="Heading 3 3 9" xfId="3570" xr:uid="{00000000-0005-0000-0000-0000184E0000}"/>
    <cellStyle name="Heading 3 3 9 2" xfId="19833" xr:uid="{00000000-0005-0000-0000-0000194E0000}"/>
    <cellStyle name="Heading 3 3 9 3" xfId="19832" xr:uid="{00000000-0005-0000-0000-00001A4E0000}"/>
    <cellStyle name="Heading 3 4" xfId="266" xr:uid="{00000000-0005-0000-0000-00001B4E0000}"/>
    <cellStyle name="Heading 3 4 10" xfId="3750" xr:uid="{00000000-0005-0000-0000-00001C4E0000}"/>
    <cellStyle name="Heading 3 4 10 2" xfId="19836" xr:uid="{00000000-0005-0000-0000-00001D4E0000}"/>
    <cellStyle name="Heading 3 4 10 3" xfId="19835" xr:uid="{00000000-0005-0000-0000-00001E4E0000}"/>
    <cellStyle name="Heading 3 4 11" xfId="1279" xr:uid="{00000000-0005-0000-0000-00001F4E0000}"/>
    <cellStyle name="Heading 3 4 11 2" xfId="19838" xr:uid="{00000000-0005-0000-0000-0000204E0000}"/>
    <cellStyle name="Heading 3 4 11 3" xfId="19837" xr:uid="{00000000-0005-0000-0000-0000214E0000}"/>
    <cellStyle name="Heading 3 4 12" xfId="19839" xr:uid="{00000000-0005-0000-0000-0000224E0000}"/>
    <cellStyle name="Heading 3 4 13" xfId="19834" xr:uid="{00000000-0005-0000-0000-0000234E0000}"/>
    <cellStyle name="Heading 3 4 2" xfId="1524" xr:uid="{00000000-0005-0000-0000-0000244E0000}"/>
    <cellStyle name="Heading 3 4 2 2" xfId="19841" xr:uid="{00000000-0005-0000-0000-0000254E0000}"/>
    <cellStyle name="Heading 3 4 2 3" xfId="19840" xr:uid="{00000000-0005-0000-0000-0000264E0000}"/>
    <cellStyle name="Heading 3 4 3" xfId="1649" xr:uid="{00000000-0005-0000-0000-0000274E0000}"/>
    <cellStyle name="Heading 3 4 3 2" xfId="19843" xr:uid="{00000000-0005-0000-0000-0000284E0000}"/>
    <cellStyle name="Heading 3 4 3 3" xfId="19842" xr:uid="{00000000-0005-0000-0000-0000294E0000}"/>
    <cellStyle name="Heading 3 4 4" xfId="1777" xr:uid="{00000000-0005-0000-0000-00002A4E0000}"/>
    <cellStyle name="Heading 3 4 4 2" xfId="19845" xr:uid="{00000000-0005-0000-0000-00002B4E0000}"/>
    <cellStyle name="Heading 3 4 4 3" xfId="19844" xr:uid="{00000000-0005-0000-0000-00002C4E0000}"/>
    <cellStyle name="Heading 3 4 5" xfId="2112" xr:uid="{00000000-0005-0000-0000-00002D4E0000}"/>
    <cellStyle name="Heading 3 4 5 2" xfId="19847" xr:uid="{00000000-0005-0000-0000-00002E4E0000}"/>
    <cellStyle name="Heading 3 4 5 3" xfId="19846" xr:uid="{00000000-0005-0000-0000-00002F4E0000}"/>
    <cellStyle name="Heading 3 4 6" xfId="2486" xr:uid="{00000000-0005-0000-0000-0000304E0000}"/>
    <cellStyle name="Heading 3 4 6 2" xfId="19849" xr:uid="{00000000-0005-0000-0000-0000314E0000}"/>
    <cellStyle name="Heading 3 4 6 3" xfId="19848" xr:uid="{00000000-0005-0000-0000-0000324E0000}"/>
    <cellStyle name="Heading 3 4 7" xfId="2858" xr:uid="{00000000-0005-0000-0000-0000334E0000}"/>
    <cellStyle name="Heading 3 4 7 2" xfId="19851" xr:uid="{00000000-0005-0000-0000-0000344E0000}"/>
    <cellStyle name="Heading 3 4 7 3" xfId="19850" xr:uid="{00000000-0005-0000-0000-0000354E0000}"/>
    <cellStyle name="Heading 3 4 8" xfId="3229" xr:uid="{00000000-0005-0000-0000-0000364E0000}"/>
    <cellStyle name="Heading 3 4 8 2" xfId="19853" xr:uid="{00000000-0005-0000-0000-0000374E0000}"/>
    <cellStyle name="Heading 3 4 8 3" xfId="19852" xr:uid="{00000000-0005-0000-0000-0000384E0000}"/>
    <cellStyle name="Heading 3 4 9" xfId="3613" xr:uid="{00000000-0005-0000-0000-0000394E0000}"/>
    <cellStyle name="Heading 3 4 9 2" xfId="19855" xr:uid="{00000000-0005-0000-0000-00003A4E0000}"/>
    <cellStyle name="Heading 3 4 9 3" xfId="19854" xr:uid="{00000000-0005-0000-0000-00003B4E0000}"/>
    <cellStyle name="Heading 3 5" xfId="483" xr:uid="{00000000-0005-0000-0000-00003C4E0000}"/>
    <cellStyle name="Heading 3 5 2" xfId="1879" xr:uid="{00000000-0005-0000-0000-00003D4E0000}"/>
    <cellStyle name="Heading 3 5 2 2" xfId="19858" xr:uid="{00000000-0005-0000-0000-00003E4E0000}"/>
    <cellStyle name="Heading 3 5 2 3" xfId="19857" xr:uid="{00000000-0005-0000-0000-00003F4E0000}"/>
    <cellStyle name="Heading 3 5 3" xfId="2254" xr:uid="{00000000-0005-0000-0000-0000404E0000}"/>
    <cellStyle name="Heading 3 5 3 2" xfId="19860" xr:uid="{00000000-0005-0000-0000-0000414E0000}"/>
    <cellStyle name="Heading 3 5 3 3" xfId="19859" xr:uid="{00000000-0005-0000-0000-0000424E0000}"/>
    <cellStyle name="Heading 3 5 4" xfId="2627" xr:uid="{00000000-0005-0000-0000-0000434E0000}"/>
    <cellStyle name="Heading 3 5 4 2" xfId="19862" xr:uid="{00000000-0005-0000-0000-0000444E0000}"/>
    <cellStyle name="Heading 3 5 4 3" xfId="19861" xr:uid="{00000000-0005-0000-0000-0000454E0000}"/>
    <cellStyle name="Heading 3 5 5" xfId="3000" xr:uid="{00000000-0005-0000-0000-0000464E0000}"/>
    <cellStyle name="Heading 3 5 5 2" xfId="19864" xr:uid="{00000000-0005-0000-0000-0000474E0000}"/>
    <cellStyle name="Heading 3 5 5 3" xfId="19863" xr:uid="{00000000-0005-0000-0000-0000484E0000}"/>
    <cellStyle name="Heading 3 5 6" xfId="3371" xr:uid="{00000000-0005-0000-0000-0000494E0000}"/>
    <cellStyle name="Heading 3 5 6 2" xfId="19866" xr:uid="{00000000-0005-0000-0000-00004A4E0000}"/>
    <cellStyle name="Heading 3 5 6 3" xfId="19865" xr:uid="{00000000-0005-0000-0000-00004B4E0000}"/>
    <cellStyle name="Heading 3 5 7" xfId="19867" xr:uid="{00000000-0005-0000-0000-00004C4E0000}"/>
    <cellStyle name="Heading 3 5 7 2" xfId="19868" xr:uid="{00000000-0005-0000-0000-00004D4E0000}"/>
    <cellStyle name="Heading 3 5 8" xfId="19869" xr:uid="{00000000-0005-0000-0000-00004E4E0000}"/>
    <cellStyle name="Heading 3 5 9" xfId="19856" xr:uid="{00000000-0005-0000-0000-00004F4E0000}"/>
    <cellStyle name="Heading 3 6" xfId="484" xr:uid="{00000000-0005-0000-0000-0000504E0000}"/>
    <cellStyle name="Heading 3 6 10" xfId="19870" xr:uid="{00000000-0005-0000-0000-0000514E0000}"/>
    <cellStyle name="Heading 3 6 2" xfId="2000" xr:uid="{00000000-0005-0000-0000-0000524E0000}"/>
    <cellStyle name="Heading 3 6 2 2" xfId="19872" xr:uid="{00000000-0005-0000-0000-0000534E0000}"/>
    <cellStyle name="Heading 3 6 2 3" xfId="19871" xr:uid="{00000000-0005-0000-0000-0000544E0000}"/>
    <cellStyle name="Heading 3 6 3" xfId="2375" xr:uid="{00000000-0005-0000-0000-0000554E0000}"/>
    <cellStyle name="Heading 3 6 3 2" xfId="19874" xr:uid="{00000000-0005-0000-0000-0000564E0000}"/>
    <cellStyle name="Heading 3 6 3 3" xfId="19873" xr:uid="{00000000-0005-0000-0000-0000574E0000}"/>
    <cellStyle name="Heading 3 6 4" xfId="2748" xr:uid="{00000000-0005-0000-0000-0000584E0000}"/>
    <cellStyle name="Heading 3 6 4 2" xfId="19876" xr:uid="{00000000-0005-0000-0000-0000594E0000}"/>
    <cellStyle name="Heading 3 6 4 3" xfId="19875" xr:uid="{00000000-0005-0000-0000-00005A4E0000}"/>
    <cellStyle name="Heading 3 6 5" xfId="3121" xr:uid="{00000000-0005-0000-0000-00005B4E0000}"/>
    <cellStyle name="Heading 3 6 5 2" xfId="19878" xr:uid="{00000000-0005-0000-0000-00005C4E0000}"/>
    <cellStyle name="Heading 3 6 5 3" xfId="19877" xr:uid="{00000000-0005-0000-0000-00005D4E0000}"/>
    <cellStyle name="Heading 3 6 6" xfId="3492" xr:uid="{00000000-0005-0000-0000-00005E4E0000}"/>
    <cellStyle name="Heading 3 6 6 2" xfId="19880" xr:uid="{00000000-0005-0000-0000-00005F4E0000}"/>
    <cellStyle name="Heading 3 6 6 3" xfId="19879" xr:uid="{00000000-0005-0000-0000-0000604E0000}"/>
    <cellStyle name="Heading 3 6 7" xfId="3798" xr:uid="{00000000-0005-0000-0000-0000614E0000}"/>
    <cellStyle name="Heading 3 6 7 2" xfId="19882" xr:uid="{00000000-0005-0000-0000-0000624E0000}"/>
    <cellStyle name="Heading 3 6 7 3" xfId="19881" xr:uid="{00000000-0005-0000-0000-0000634E0000}"/>
    <cellStyle name="Heading 3 6 8" xfId="19883" xr:uid="{00000000-0005-0000-0000-0000644E0000}"/>
    <cellStyle name="Heading 3 6 8 2" xfId="19884" xr:uid="{00000000-0005-0000-0000-0000654E0000}"/>
    <cellStyle name="Heading 3 6 9" xfId="19885" xr:uid="{00000000-0005-0000-0000-0000664E0000}"/>
    <cellStyle name="Heading 3 7" xfId="485" xr:uid="{00000000-0005-0000-0000-0000674E0000}"/>
    <cellStyle name="Heading 3 7 2" xfId="19887" xr:uid="{00000000-0005-0000-0000-0000684E0000}"/>
    <cellStyle name="Heading 3 7 3" xfId="19886" xr:uid="{00000000-0005-0000-0000-0000694E0000}"/>
    <cellStyle name="Heading 3 8" xfId="613" xr:uid="{00000000-0005-0000-0000-00006A4E0000}"/>
    <cellStyle name="Heading 3 8 2" xfId="19889" xr:uid="{00000000-0005-0000-0000-00006B4E0000}"/>
    <cellStyle name="Heading 3 8 3" xfId="19888" xr:uid="{00000000-0005-0000-0000-00006C4E0000}"/>
    <cellStyle name="Heading 3 9" xfId="614" xr:uid="{00000000-0005-0000-0000-00006D4E0000}"/>
    <cellStyle name="Heading 3 9 2" xfId="19891" xr:uid="{00000000-0005-0000-0000-00006E4E0000}"/>
    <cellStyle name="Heading 3 9 3" xfId="19890" xr:uid="{00000000-0005-0000-0000-00006F4E0000}"/>
    <cellStyle name="Heading 4 10" xfId="768" xr:uid="{00000000-0005-0000-0000-0000704E0000}"/>
    <cellStyle name="Heading 4 10 2" xfId="19894" xr:uid="{00000000-0005-0000-0000-0000714E0000}"/>
    <cellStyle name="Heading 4 10 3" xfId="19893" xr:uid="{00000000-0005-0000-0000-0000724E0000}"/>
    <cellStyle name="Heading 4 11" xfId="769" xr:uid="{00000000-0005-0000-0000-0000734E0000}"/>
    <cellStyle name="Heading 4 11 2" xfId="19896" xr:uid="{00000000-0005-0000-0000-0000744E0000}"/>
    <cellStyle name="Heading 4 11 3" xfId="19895" xr:uid="{00000000-0005-0000-0000-0000754E0000}"/>
    <cellStyle name="Heading 4 12" xfId="894" xr:uid="{00000000-0005-0000-0000-0000764E0000}"/>
    <cellStyle name="Heading 4 12 2" xfId="19897" xr:uid="{00000000-0005-0000-0000-0000774E0000}"/>
    <cellStyle name="Heading 4 13" xfId="895" xr:uid="{00000000-0005-0000-0000-0000784E0000}"/>
    <cellStyle name="Heading 4 13 2" xfId="19892" xr:uid="{00000000-0005-0000-0000-0000794E0000}"/>
    <cellStyle name="Heading 4 14" xfId="985" xr:uid="{00000000-0005-0000-0000-00007A4E0000}"/>
    <cellStyle name="Heading 4 2" xfId="101" xr:uid="{00000000-0005-0000-0000-00007B4E0000}"/>
    <cellStyle name="Heading 4 2 10" xfId="1699" xr:uid="{00000000-0005-0000-0000-00007C4E0000}"/>
    <cellStyle name="Heading 4 2 10 2" xfId="19900" xr:uid="{00000000-0005-0000-0000-00007D4E0000}"/>
    <cellStyle name="Heading 4 2 10 3" xfId="19899" xr:uid="{00000000-0005-0000-0000-00007E4E0000}"/>
    <cellStyle name="Heading 4 2 11" xfId="2034" xr:uid="{00000000-0005-0000-0000-00007F4E0000}"/>
    <cellStyle name="Heading 4 2 11 2" xfId="19902" xr:uid="{00000000-0005-0000-0000-0000804E0000}"/>
    <cellStyle name="Heading 4 2 11 3" xfId="19901" xr:uid="{00000000-0005-0000-0000-0000814E0000}"/>
    <cellStyle name="Heading 4 2 12" xfId="2408" xr:uid="{00000000-0005-0000-0000-0000824E0000}"/>
    <cellStyle name="Heading 4 2 12 2" xfId="19904" xr:uid="{00000000-0005-0000-0000-0000834E0000}"/>
    <cellStyle name="Heading 4 2 12 3" xfId="19903" xr:uid="{00000000-0005-0000-0000-0000844E0000}"/>
    <cellStyle name="Heading 4 2 13" xfId="2781" xr:uid="{00000000-0005-0000-0000-0000854E0000}"/>
    <cellStyle name="Heading 4 2 13 2" xfId="19906" xr:uid="{00000000-0005-0000-0000-0000864E0000}"/>
    <cellStyle name="Heading 4 2 13 3" xfId="19905" xr:uid="{00000000-0005-0000-0000-0000874E0000}"/>
    <cellStyle name="Heading 4 2 14" xfId="3155" xr:uid="{00000000-0005-0000-0000-0000884E0000}"/>
    <cellStyle name="Heading 4 2 14 2" xfId="19908" xr:uid="{00000000-0005-0000-0000-0000894E0000}"/>
    <cellStyle name="Heading 4 2 14 3" xfId="19907" xr:uid="{00000000-0005-0000-0000-00008A4E0000}"/>
    <cellStyle name="Heading 4 2 15" xfId="3526" xr:uid="{00000000-0005-0000-0000-00008B4E0000}"/>
    <cellStyle name="Heading 4 2 15 2" xfId="19910" xr:uid="{00000000-0005-0000-0000-00008C4E0000}"/>
    <cellStyle name="Heading 4 2 15 3" xfId="19909" xr:uid="{00000000-0005-0000-0000-00008D4E0000}"/>
    <cellStyle name="Heading 4 2 16" xfId="3664" xr:uid="{00000000-0005-0000-0000-00008E4E0000}"/>
    <cellStyle name="Heading 4 2 16 2" xfId="19912" xr:uid="{00000000-0005-0000-0000-00008F4E0000}"/>
    <cellStyle name="Heading 4 2 16 3" xfId="19911" xr:uid="{00000000-0005-0000-0000-0000904E0000}"/>
    <cellStyle name="Heading 4 2 17" xfId="19913" xr:uid="{00000000-0005-0000-0000-0000914E0000}"/>
    <cellStyle name="Heading 4 2 17 2" xfId="19914" xr:uid="{00000000-0005-0000-0000-0000924E0000}"/>
    <cellStyle name="Heading 4 2 18" xfId="19915" xr:uid="{00000000-0005-0000-0000-0000934E0000}"/>
    <cellStyle name="Heading 4 2 19" xfId="19898" xr:uid="{00000000-0005-0000-0000-0000944E0000}"/>
    <cellStyle name="Heading 4 2 2" xfId="145" xr:uid="{00000000-0005-0000-0000-0000954E0000}"/>
    <cellStyle name="Heading 4 2 2 2" xfId="157" xr:uid="{00000000-0005-0000-0000-0000964E0000}"/>
    <cellStyle name="Heading 4 2 2 2 2" xfId="19918" xr:uid="{00000000-0005-0000-0000-0000974E0000}"/>
    <cellStyle name="Heading 4 2 2 2 3" xfId="19917" xr:uid="{00000000-0005-0000-0000-0000984E0000}"/>
    <cellStyle name="Heading 4 2 2 3" xfId="321" xr:uid="{00000000-0005-0000-0000-0000994E0000}"/>
    <cellStyle name="Heading 4 2 2 3 2" xfId="19920" xr:uid="{00000000-0005-0000-0000-00009A4E0000}"/>
    <cellStyle name="Heading 4 2 2 3 3" xfId="19919" xr:uid="{00000000-0005-0000-0000-00009B4E0000}"/>
    <cellStyle name="Heading 4 2 2 4" xfId="2144" xr:uid="{00000000-0005-0000-0000-00009C4E0000}"/>
    <cellStyle name="Heading 4 2 2 4 2" xfId="19922" xr:uid="{00000000-0005-0000-0000-00009D4E0000}"/>
    <cellStyle name="Heading 4 2 2 4 3" xfId="19921" xr:uid="{00000000-0005-0000-0000-00009E4E0000}"/>
    <cellStyle name="Heading 4 2 2 5" xfId="2518" xr:uid="{00000000-0005-0000-0000-00009F4E0000}"/>
    <cellStyle name="Heading 4 2 2 5 2" xfId="19924" xr:uid="{00000000-0005-0000-0000-0000A04E0000}"/>
    <cellStyle name="Heading 4 2 2 5 3" xfId="19923" xr:uid="{00000000-0005-0000-0000-0000A14E0000}"/>
    <cellStyle name="Heading 4 2 2 6" xfId="2890" xr:uid="{00000000-0005-0000-0000-0000A24E0000}"/>
    <cellStyle name="Heading 4 2 2 6 2" xfId="19926" xr:uid="{00000000-0005-0000-0000-0000A34E0000}"/>
    <cellStyle name="Heading 4 2 2 6 3" xfId="19925" xr:uid="{00000000-0005-0000-0000-0000A44E0000}"/>
    <cellStyle name="Heading 4 2 2 7" xfId="3261" xr:uid="{00000000-0005-0000-0000-0000A54E0000}"/>
    <cellStyle name="Heading 4 2 2 7 2" xfId="19928" xr:uid="{00000000-0005-0000-0000-0000A64E0000}"/>
    <cellStyle name="Heading 4 2 2 7 3" xfId="19927" xr:uid="{00000000-0005-0000-0000-0000A74E0000}"/>
    <cellStyle name="Heading 4 2 2 8" xfId="19929" xr:uid="{00000000-0005-0000-0000-0000A84E0000}"/>
    <cellStyle name="Heading 4 2 2 9" xfId="19916" xr:uid="{00000000-0005-0000-0000-0000A94E0000}"/>
    <cellStyle name="Heading 4 2 20" xfId="24498" xr:uid="{00000000-0005-0000-0000-0000AA4E0000}"/>
    <cellStyle name="Heading 4 2 3" xfId="310" xr:uid="{00000000-0005-0000-0000-0000AB4E0000}"/>
    <cellStyle name="Heading 4 2 3 2" xfId="1320" xr:uid="{00000000-0005-0000-0000-0000AC4E0000}"/>
    <cellStyle name="Heading 4 2 3 2 2" xfId="19931" xr:uid="{00000000-0005-0000-0000-0000AD4E0000}"/>
    <cellStyle name="Heading 4 2 3 3" xfId="19930" xr:uid="{00000000-0005-0000-0000-0000AE4E0000}"/>
    <cellStyle name="Heading 4 2 4" xfId="486" xr:uid="{00000000-0005-0000-0000-0000AF4E0000}"/>
    <cellStyle name="Heading 4 2 4 2" xfId="19933" xr:uid="{00000000-0005-0000-0000-0000B04E0000}"/>
    <cellStyle name="Heading 4 2 4 3" xfId="19932" xr:uid="{00000000-0005-0000-0000-0000B14E0000}"/>
    <cellStyle name="Heading 4 2 5" xfId="615" xr:uid="{00000000-0005-0000-0000-0000B24E0000}"/>
    <cellStyle name="Heading 4 2 5 2" xfId="19935" xr:uid="{00000000-0005-0000-0000-0000B34E0000}"/>
    <cellStyle name="Heading 4 2 5 3" xfId="19934" xr:uid="{00000000-0005-0000-0000-0000B44E0000}"/>
    <cellStyle name="Heading 4 2 6" xfId="770" xr:uid="{00000000-0005-0000-0000-0000B54E0000}"/>
    <cellStyle name="Heading 4 2 6 2" xfId="19937" xr:uid="{00000000-0005-0000-0000-0000B64E0000}"/>
    <cellStyle name="Heading 4 2 6 3" xfId="19936" xr:uid="{00000000-0005-0000-0000-0000B74E0000}"/>
    <cellStyle name="Heading 4 2 7" xfId="771" xr:uid="{00000000-0005-0000-0000-0000B84E0000}"/>
    <cellStyle name="Heading 4 2 7 2" xfId="19939" xr:uid="{00000000-0005-0000-0000-0000B94E0000}"/>
    <cellStyle name="Heading 4 2 7 3" xfId="19938" xr:uid="{00000000-0005-0000-0000-0000BA4E0000}"/>
    <cellStyle name="Heading 4 2 8" xfId="896" xr:uid="{00000000-0005-0000-0000-0000BB4E0000}"/>
    <cellStyle name="Heading 4 2 8 2" xfId="1428" xr:uid="{00000000-0005-0000-0000-0000BC4E0000}"/>
    <cellStyle name="Heading 4 2 8 2 2" xfId="19941" xr:uid="{00000000-0005-0000-0000-0000BD4E0000}"/>
    <cellStyle name="Heading 4 2 8 3" xfId="19940" xr:uid="{00000000-0005-0000-0000-0000BE4E0000}"/>
    <cellStyle name="Heading 4 2 9" xfId="986" xr:uid="{00000000-0005-0000-0000-0000BF4E0000}"/>
    <cellStyle name="Heading 4 2 9 2" xfId="1549" xr:uid="{00000000-0005-0000-0000-0000C04E0000}"/>
    <cellStyle name="Heading 4 2 9 2 2" xfId="19943" xr:uid="{00000000-0005-0000-0000-0000C14E0000}"/>
    <cellStyle name="Heading 4 2 9 3" xfId="19942" xr:uid="{00000000-0005-0000-0000-0000C24E0000}"/>
    <cellStyle name="Heading 4 3" xfId="198" xr:uid="{00000000-0005-0000-0000-0000C34E0000}"/>
    <cellStyle name="Heading 4 3 10" xfId="3707" xr:uid="{00000000-0005-0000-0000-0000C44E0000}"/>
    <cellStyle name="Heading 4 3 10 2" xfId="19946" xr:uid="{00000000-0005-0000-0000-0000C54E0000}"/>
    <cellStyle name="Heading 4 3 10 3" xfId="19945" xr:uid="{00000000-0005-0000-0000-0000C64E0000}"/>
    <cellStyle name="Heading 4 3 11" xfId="19947" xr:uid="{00000000-0005-0000-0000-0000C74E0000}"/>
    <cellStyle name="Heading 4 3 11 2" xfId="19948" xr:uid="{00000000-0005-0000-0000-0000C84E0000}"/>
    <cellStyle name="Heading 4 3 12" xfId="19949" xr:uid="{00000000-0005-0000-0000-0000C94E0000}"/>
    <cellStyle name="Heading 4 3 13" xfId="19944" xr:uid="{00000000-0005-0000-0000-0000CA4E0000}"/>
    <cellStyle name="Heading 4 3 2" xfId="1480" xr:uid="{00000000-0005-0000-0000-0000CB4E0000}"/>
    <cellStyle name="Heading 4 3 2 2" xfId="1809" xr:uid="{00000000-0005-0000-0000-0000CC4E0000}"/>
    <cellStyle name="Heading 4 3 2 2 2" xfId="19952" xr:uid="{00000000-0005-0000-0000-0000CD4E0000}"/>
    <cellStyle name="Heading 4 3 2 2 3" xfId="19951" xr:uid="{00000000-0005-0000-0000-0000CE4E0000}"/>
    <cellStyle name="Heading 4 3 2 3" xfId="2184" xr:uid="{00000000-0005-0000-0000-0000CF4E0000}"/>
    <cellStyle name="Heading 4 3 2 3 2" xfId="19954" xr:uid="{00000000-0005-0000-0000-0000D04E0000}"/>
    <cellStyle name="Heading 4 3 2 3 3" xfId="19953" xr:uid="{00000000-0005-0000-0000-0000D14E0000}"/>
    <cellStyle name="Heading 4 3 2 4" xfId="2558" xr:uid="{00000000-0005-0000-0000-0000D24E0000}"/>
    <cellStyle name="Heading 4 3 2 4 2" xfId="19956" xr:uid="{00000000-0005-0000-0000-0000D34E0000}"/>
    <cellStyle name="Heading 4 3 2 4 3" xfId="19955" xr:uid="{00000000-0005-0000-0000-0000D44E0000}"/>
    <cellStyle name="Heading 4 3 2 5" xfId="2930" xr:uid="{00000000-0005-0000-0000-0000D54E0000}"/>
    <cellStyle name="Heading 4 3 2 5 2" xfId="19958" xr:uid="{00000000-0005-0000-0000-0000D64E0000}"/>
    <cellStyle name="Heading 4 3 2 5 3" xfId="19957" xr:uid="{00000000-0005-0000-0000-0000D74E0000}"/>
    <cellStyle name="Heading 4 3 2 6" xfId="3302" xr:uid="{00000000-0005-0000-0000-0000D84E0000}"/>
    <cellStyle name="Heading 4 3 2 6 2" xfId="19960" xr:uid="{00000000-0005-0000-0000-0000D94E0000}"/>
    <cellStyle name="Heading 4 3 2 6 3" xfId="19959" xr:uid="{00000000-0005-0000-0000-0000DA4E0000}"/>
    <cellStyle name="Heading 4 3 2 7" xfId="19961" xr:uid="{00000000-0005-0000-0000-0000DB4E0000}"/>
    <cellStyle name="Heading 4 3 2 8" xfId="19950" xr:uid="{00000000-0005-0000-0000-0000DC4E0000}"/>
    <cellStyle name="Heading 4 3 3" xfId="1607" xr:uid="{00000000-0005-0000-0000-0000DD4E0000}"/>
    <cellStyle name="Heading 4 3 3 2" xfId="1886" xr:uid="{00000000-0005-0000-0000-0000DE4E0000}"/>
    <cellStyle name="Heading 4 3 3 2 2" xfId="19964" xr:uid="{00000000-0005-0000-0000-0000DF4E0000}"/>
    <cellStyle name="Heading 4 3 3 2 3" xfId="19963" xr:uid="{00000000-0005-0000-0000-0000E04E0000}"/>
    <cellStyle name="Heading 4 3 3 3" xfId="2261" xr:uid="{00000000-0005-0000-0000-0000E14E0000}"/>
    <cellStyle name="Heading 4 3 3 3 2" xfId="19966" xr:uid="{00000000-0005-0000-0000-0000E24E0000}"/>
    <cellStyle name="Heading 4 3 3 3 3" xfId="19965" xr:uid="{00000000-0005-0000-0000-0000E34E0000}"/>
    <cellStyle name="Heading 4 3 3 4" xfId="2634" xr:uid="{00000000-0005-0000-0000-0000E44E0000}"/>
    <cellStyle name="Heading 4 3 3 4 2" xfId="19968" xr:uid="{00000000-0005-0000-0000-0000E54E0000}"/>
    <cellStyle name="Heading 4 3 3 4 3" xfId="19967" xr:uid="{00000000-0005-0000-0000-0000E64E0000}"/>
    <cellStyle name="Heading 4 3 3 5" xfId="3007" xr:uid="{00000000-0005-0000-0000-0000E74E0000}"/>
    <cellStyle name="Heading 4 3 3 5 2" xfId="19970" xr:uid="{00000000-0005-0000-0000-0000E84E0000}"/>
    <cellStyle name="Heading 4 3 3 5 3" xfId="19969" xr:uid="{00000000-0005-0000-0000-0000E94E0000}"/>
    <cellStyle name="Heading 4 3 3 6" xfId="3378" xr:uid="{00000000-0005-0000-0000-0000EA4E0000}"/>
    <cellStyle name="Heading 4 3 3 6 2" xfId="19972" xr:uid="{00000000-0005-0000-0000-0000EB4E0000}"/>
    <cellStyle name="Heading 4 3 3 6 3" xfId="19971" xr:uid="{00000000-0005-0000-0000-0000EC4E0000}"/>
    <cellStyle name="Heading 4 3 3 7" xfId="19973" xr:uid="{00000000-0005-0000-0000-0000ED4E0000}"/>
    <cellStyle name="Heading 4 3 3 8" xfId="19962" xr:uid="{00000000-0005-0000-0000-0000EE4E0000}"/>
    <cellStyle name="Heading 4 3 4" xfId="1746" xr:uid="{00000000-0005-0000-0000-0000EF4E0000}"/>
    <cellStyle name="Heading 4 3 4 2" xfId="1930" xr:uid="{00000000-0005-0000-0000-0000F04E0000}"/>
    <cellStyle name="Heading 4 3 4 2 2" xfId="19976" xr:uid="{00000000-0005-0000-0000-0000F14E0000}"/>
    <cellStyle name="Heading 4 3 4 2 3" xfId="19975" xr:uid="{00000000-0005-0000-0000-0000F24E0000}"/>
    <cellStyle name="Heading 4 3 4 3" xfId="2305" xr:uid="{00000000-0005-0000-0000-0000F34E0000}"/>
    <cellStyle name="Heading 4 3 4 3 2" xfId="19978" xr:uid="{00000000-0005-0000-0000-0000F44E0000}"/>
    <cellStyle name="Heading 4 3 4 3 3" xfId="19977" xr:uid="{00000000-0005-0000-0000-0000F54E0000}"/>
    <cellStyle name="Heading 4 3 4 4" xfId="2678" xr:uid="{00000000-0005-0000-0000-0000F64E0000}"/>
    <cellStyle name="Heading 4 3 4 4 2" xfId="19980" xr:uid="{00000000-0005-0000-0000-0000F74E0000}"/>
    <cellStyle name="Heading 4 3 4 4 3" xfId="19979" xr:uid="{00000000-0005-0000-0000-0000F84E0000}"/>
    <cellStyle name="Heading 4 3 4 5" xfId="3051" xr:uid="{00000000-0005-0000-0000-0000F94E0000}"/>
    <cellStyle name="Heading 4 3 4 5 2" xfId="19982" xr:uid="{00000000-0005-0000-0000-0000FA4E0000}"/>
    <cellStyle name="Heading 4 3 4 5 3" xfId="19981" xr:uid="{00000000-0005-0000-0000-0000FB4E0000}"/>
    <cellStyle name="Heading 4 3 4 6" xfId="3422" xr:uid="{00000000-0005-0000-0000-0000FC4E0000}"/>
    <cellStyle name="Heading 4 3 4 6 2" xfId="19984" xr:uid="{00000000-0005-0000-0000-0000FD4E0000}"/>
    <cellStyle name="Heading 4 3 4 6 3" xfId="19983" xr:uid="{00000000-0005-0000-0000-0000FE4E0000}"/>
    <cellStyle name="Heading 4 3 4 7" xfId="19985" xr:uid="{00000000-0005-0000-0000-0000FF4E0000}"/>
    <cellStyle name="Heading 4 3 4 8" xfId="19974" xr:uid="{00000000-0005-0000-0000-0000004F0000}"/>
    <cellStyle name="Heading 4 3 5" xfId="2081" xr:uid="{00000000-0005-0000-0000-0000014F0000}"/>
    <cellStyle name="Heading 4 3 5 2" xfId="19987" xr:uid="{00000000-0005-0000-0000-0000024F0000}"/>
    <cellStyle name="Heading 4 3 5 3" xfId="19986" xr:uid="{00000000-0005-0000-0000-0000034F0000}"/>
    <cellStyle name="Heading 4 3 6" xfId="2455" xr:uid="{00000000-0005-0000-0000-0000044F0000}"/>
    <cellStyle name="Heading 4 3 6 2" xfId="19989" xr:uid="{00000000-0005-0000-0000-0000054F0000}"/>
    <cellStyle name="Heading 4 3 6 3" xfId="19988" xr:uid="{00000000-0005-0000-0000-0000064F0000}"/>
    <cellStyle name="Heading 4 3 7" xfId="2827" xr:uid="{00000000-0005-0000-0000-0000074F0000}"/>
    <cellStyle name="Heading 4 3 7 2" xfId="19991" xr:uid="{00000000-0005-0000-0000-0000084F0000}"/>
    <cellStyle name="Heading 4 3 7 3" xfId="19990" xr:uid="{00000000-0005-0000-0000-0000094F0000}"/>
    <cellStyle name="Heading 4 3 8" xfId="3198" xr:uid="{00000000-0005-0000-0000-00000A4F0000}"/>
    <cellStyle name="Heading 4 3 8 2" xfId="19993" xr:uid="{00000000-0005-0000-0000-00000B4F0000}"/>
    <cellStyle name="Heading 4 3 8 3" xfId="19992" xr:uid="{00000000-0005-0000-0000-00000C4F0000}"/>
    <cellStyle name="Heading 4 3 9" xfId="3571" xr:uid="{00000000-0005-0000-0000-00000D4F0000}"/>
    <cellStyle name="Heading 4 3 9 2" xfId="19995" xr:uid="{00000000-0005-0000-0000-00000E4F0000}"/>
    <cellStyle name="Heading 4 3 9 3" xfId="19994" xr:uid="{00000000-0005-0000-0000-00000F4F0000}"/>
    <cellStyle name="Heading 4 4" xfId="267" xr:uid="{00000000-0005-0000-0000-0000104F0000}"/>
    <cellStyle name="Heading 4 4 10" xfId="3751" xr:uid="{00000000-0005-0000-0000-0000114F0000}"/>
    <cellStyle name="Heading 4 4 10 2" xfId="19998" xr:uid="{00000000-0005-0000-0000-0000124F0000}"/>
    <cellStyle name="Heading 4 4 10 3" xfId="19997" xr:uid="{00000000-0005-0000-0000-0000134F0000}"/>
    <cellStyle name="Heading 4 4 11" xfId="1280" xr:uid="{00000000-0005-0000-0000-0000144F0000}"/>
    <cellStyle name="Heading 4 4 11 2" xfId="20000" xr:uid="{00000000-0005-0000-0000-0000154F0000}"/>
    <cellStyle name="Heading 4 4 11 3" xfId="19999" xr:uid="{00000000-0005-0000-0000-0000164F0000}"/>
    <cellStyle name="Heading 4 4 12" xfId="20001" xr:uid="{00000000-0005-0000-0000-0000174F0000}"/>
    <cellStyle name="Heading 4 4 13" xfId="19996" xr:uid="{00000000-0005-0000-0000-0000184F0000}"/>
    <cellStyle name="Heading 4 4 2" xfId="1525" xr:uid="{00000000-0005-0000-0000-0000194F0000}"/>
    <cellStyle name="Heading 4 4 2 2" xfId="20003" xr:uid="{00000000-0005-0000-0000-00001A4F0000}"/>
    <cellStyle name="Heading 4 4 2 3" xfId="20002" xr:uid="{00000000-0005-0000-0000-00001B4F0000}"/>
    <cellStyle name="Heading 4 4 3" xfId="1650" xr:uid="{00000000-0005-0000-0000-00001C4F0000}"/>
    <cellStyle name="Heading 4 4 3 2" xfId="20005" xr:uid="{00000000-0005-0000-0000-00001D4F0000}"/>
    <cellStyle name="Heading 4 4 3 3" xfId="20004" xr:uid="{00000000-0005-0000-0000-00001E4F0000}"/>
    <cellStyle name="Heading 4 4 4" xfId="1776" xr:uid="{00000000-0005-0000-0000-00001F4F0000}"/>
    <cellStyle name="Heading 4 4 4 2" xfId="20007" xr:uid="{00000000-0005-0000-0000-0000204F0000}"/>
    <cellStyle name="Heading 4 4 4 3" xfId="20006" xr:uid="{00000000-0005-0000-0000-0000214F0000}"/>
    <cellStyle name="Heading 4 4 5" xfId="2111" xr:uid="{00000000-0005-0000-0000-0000224F0000}"/>
    <cellStyle name="Heading 4 4 5 2" xfId="20009" xr:uid="{00000000-0005-0000-0000-0000234F0000}"/>
    <cellStyle name="Heading 4 4 5 3" xfId="20008" xr:uid="{00000000-0005-0000-0000-0000244F0000}"/>
    <cellStyle name="Heading 4 4 6" xfId="2485" xr:uid="{00000000-0005-0000-0000-0000254F0000}"/>
    <cellStyle name="Heading 4 4 6 2" xfId="20011" xr:uid="{00000000-0005-0000-0000-0000264F0000}"/>
    <cellStyle name="Heading 4 4 6 3" xfId="20010" xr:uid="{00000000-0005-0000-0000-0000274F0000}"/>
    <cellStyle name="Heading 4 4 7" xfId="2857" xr:uid="{00000000-0005-0000-0000-0000284F0000}"/>
    <cellStyle name="Heading 4 4 7 2" xfId="20013" xr:uid="{00000000-0005-0000-0000-0000294F0000}"/>
    <cellStyle name="Heading 4 4 7 3" xfId="20012" xr:uid="{00000000-0005-0000-0000-00002A4F0000}"/>
    <cellStyle name="Heading 4 4 8" xfId="3228" xr:uid="{00000000-0005-0000-0000-00002B4F0000}"/>
    <cellStyle name="Heading 4 4 8 2" xfId="20015" xr:uid="{00000000-0005-0000-0000-00002C4F0000}"/>
    <cellStyle name="Heading 4 4 8 3" xfId="20014" xr:uid="{00000000-0005-0000-0000-00002D4F0000}"/>
    <cellStyle name="Heading 4 4 9" xfId="3614" xr:uid="{00000000-0005-0000-0000-00002E4F0000}"/>
    <cellStyle name="Heading 4 4 9 2" xfId="20017" xr:uid="{00000000-0005-0000-0000-00002F4F0000}"/>
    <cellStyle name="Heading 4 4 9 3" xfId="20016" xr:uid="{00000000-0005-0000-0000-0000304F0000}"/>
    <cellStyle name="Heading 4 5" xfId="487" xr:uid="{00000000-0005-0000-0000-0000314F0000}"/>
    <cellStyle name="Heading 4 5 2" xfId="1850" xr:uid="{00000000-0005-0000-0000-0000324F0000}"/>
    <cellStyle name="Heading 4 5 2 2" xfId="20020" xr:uid="{00000000-0005-0000-0000-0000334F0000}"/>
    <cellStyle name="Heading 4 5 2 3" xfId="20019" xr:uid="{00000000-0005-0000-0000-0000344F0000}"/>
    <cellStyle name="Heading 4 5 3" xfId="2225" xr:uid="{00000000-0005-0000-0000-0000354F0000}"/>
    <cellStyle name="Heading 4 5 3 2" xfId="20022" xr:uid="{00000000-0005-0000-0000-0000364F0000}"/>
    <cellStyle name="Heading 4 5 3 3" xfId="20021" xr:uid="{00000000-0005-0000-0000-0000374F0000}"/>
    <cellStyle name="Heading 4 5 4" xfId="2599" xr:uid="{00000000-0005-0000-0000-0000384F0000}"/>
    <cellStyle name="Heading 4 5 4 2" xfId="20024" xr:uid="{00000000-0005-0000-0000-0000394F0000}"/>
    <cellStyle name="Heading 4 5 4 3" xfId="20023" xr:uid="{00000000-0005-0000-0000-00003A4F0000}"/>
    <cellStyle name="Heading 4 5 5" xfId="2971" xr:uid="{00000000-0005-0000-0000-00003B4F0000}"/>
    <cellStyle name="Heading 4 5 5 2" xfId="20026" xr:uid="{00000000-0005-0000-0000-00003C4F0000}"/>
    <cellStyle name="Heading 4 5 5 3" xfId="20025" xr:uid="{00000000-0005-0000-0000-00003D4F0000}"/>
    <cellStyle name="Heading 4 5 6" xfId="3343" xr:uid="{00000000-0005-0000-0000-00003E4F0000}"/>
    <cellStyle name="Heading 4 5 6 2" xfId="20028" xr:uid="{00000000-0005-0000-0000-00003F4F0000}"/>
    <cellStyle name="Heading 4 5 6 3" xfId="20027" xr:uid="{00000000-0005-0000-0000-0000404F0000}"/>
    <cellStyle name="Heading 4 5 7" xfId="20029" xr:uid="{00000000-0005-0000-0000-0000414F0000}"/>
    <cellStyle name="Heading 4 5 7 2" xfId="20030" xr:uid="{00000000-0005-0000-0000-0000424F0000}"/>
    <cellStyle name="Heading 4 5 8" xfId="20031" xr:uid="{00000000-0005-0000-0000-0000434F0000}"/>
    <cellStyle name="Heading 4 5 9" xfId="20018" xr:uid="{00000000-0005-0000-0000-0000444F0000}"/>
    <cellStyle name="Heading 4 6" xfId="488" xr:uid="{00000000-0005-0000-0000-0000454F0000}"/>
    <cellStyle name="Heading 4 6 10" xfId="20032" xr:uid="{00000000-0005-0000-0000-0000464F0000}"/>
    <cellStyle name="Heading 4 6 2" xfId="2001" xr:uid="{00000000-0005-0000-0000-0000474F0000}"/>
    <cellStyle name="Heading 4 6 2 2" xfId="20034" xr:uid="{00000000-0005-0000-0000-0000484F0000}"/>
    <cellStyle name="Heading 4 6 2 3" xfId="20033" xr:uid="{00000000-0005-0000-0000-0000494F0000}"/>
    <cellStyle name="Heading 4 6 3" xfId="2376" xr:uid="{00000000-0005-0000-0000-00004A4F0000}"/>
    <cellStyle name="Heading 4 6 3 2" xfId="20036" xr:uid="{00000000-0005-0000-0000-00004B4F0000}"/>
    <cellStyle name="Heading 4 6 3 3" xfId="20035" xr:uid="{00000000-0005-0000-0000-00004C4F0000}"/>
    <cellStyle name="Heading 4 6 4" xfId="2749" xr:uid="{00000000-0005-0000-0000-00004D4F0000}"/>
    <cellStyle name="Heading 4 6 4 2" xfId="20038" xr:uid="{00000000-0005-0000-0000-00004E4F0000}"/>
    <cellStyle name="Heading 4 6 4 3" xfId="20037" xr:uid="{00000000-0005-0000-0000-00004F4F0000}"/>
    <cellStyle name="Heading 4 6 5" xfId="3122" xr:uid="{00000000-0005-0000-0000-0000504F0000}"/>
    <cellStyle name="Heading 4 6 5 2" xfId="20040" xr:uid="{00000000-0005-0000-0000-0000514F0000}"/>
    <cellStyle name="Heading 4 6 5 3" xfId="20039" xr:uid="{00000000-0005-0000-0000-0000524F0000}"/>
    <cellStyle name="Heading 4 6 6" xfId="3493" xr:uid="{00000000-0005-0000-0000-0000534F0000}"/>
    <cellStyle name="Heading 4 6 6 2" xfId="20042" xr:uid="{00000000-0005-0000-0000-0000544F0000}"/>
    <cellStyle name="Heading 4 6 6 3" xfId="20041" xr:uid="{00000000-0005-0000-0000-0000554F0000}"/>
    <cellStyle name="Heading 4 6 7" xfId="3799" xr:uid="{00000000-0005-0000-0000-0000564F0000}"/>
    <cellStyle name="Heading 4 6 7 2" xfId="20044" xr:uid="{00000000-0005-0000-0000-0000574F0000}"/>
    <cellStyle name="Heading 4 6 7 3" xfId="20043" xr:uid="{00000000-0005-0000-0000-0000584F0000}"/>
    <cellStyle name="Heading 4 6 8" xfId="20045" xr:uid="{00000000-0005-0000-0000-0000594F0000}"/>
    <cellStyle name="Heading 4 6 8 2" xfId="20046" xr:uid="{00000000-0005-0000-0000-00005A4F0000}"/>
    <cellStyle name="Heading 4 6 9" xfId="20047" xr:uid="{00000000-0005-0000-0000-00005B4F0000}"/>
    <cellStyle name="Heading 4 7" xfId="489" xr:uid="{00000000-0005-0000-0000-00005C4F0000}"/>
    <cellStyle name="Heading 4 7 2" xfId="20049" xr:uid="{00000000-0005-0000-0000-00005D4F0000}"/>
    <cellStyle name="Heading 4 7 3" xfId="20048" xr:uid="{00000000-0005-0000-0000-00005E4F0000}"/>
    <cellStyle name="Heading 4 8" xfId="616" xr:uid="{00000000-0005-0000-0000-00005F4F0000}"/>
    <cellStyle name="Heading 4 8 2" xfId="20051" xr:uid="{00000000-0005-0000-0000-0000604F0000}"/>
    <cellStyle name="Heading 4 8 3" xfId="20050" xr:uid="{00000000-0005-0000-0000-0000614F0000}"/>
    <cellStyle name="Heading 4 9" xfId="617" xr:uid="{00000000-0005-0000-0000-0000624F0000}"/>
    <cellStyle name="Heading 4 9 2" xfId="20053" xr:uid="{00000000-0005-0000-0000-0000634F0000}"/>
    <cellStyle name="Heading 4 9 3" xfId="20052" xr:uid="{00000000-0005-0000-0000-0000644F0000}"/>
    <cellStyle name="Hyperlink 2" xfId="146" xr:uid="{00000000-0005-0000-0000-0000654F0000}"/>
    <cellStyle name="Hyperlink 2 2" xfId="20055" xr:uid="{00000000-0005-0000-0000-0000664F0000}"/>
    <cellStyle name="Hyperlink 2 3" xfId="20054" xr:uid="{00000000-0005-0000-0000-0000674F0000}"/>
    <cellStyle name="Input 10" xfId="772" xr:uid="{00000000-0005-0000-0000-0000684F0000}"/>
    <cellStyle name="Input 10 2" xfId="20058" xr:uid="{00000000-0005-0000-0000-0000694F0000}"/>
    <cellStyle name="Input 10 3" xfId="20057" xr:uid="{00000000-0005-0000-0000-00006A4F0000}"/>
    <cellStyle name="Input 11" xfId="773" xr:uid="{00000000-0005-0000-0000-00006B4F0000}"/>
    <cellStyle name="Input 11 2" xfId="20060" xr:uid="{00000000-0005-0000-0000-00006C4F0000}"/>
    <cellStyle name="Input 11 3" xfId="20059" xr:uid="{00000000-0005-0000-0000-00006D4F0000}"/>
    <cellStyle name="Input 12" xfId="897" xr:uid="{00000000-0005-0000-0000-00006E4F0000}"/>
    <cellStyle name="Input 12 2" xfId="20061" xr:uid="{00000000-0005-0000-0000-00006F4F0000}"/>
    <cellStyle name="Input 13" xfId="898" xr:uid="{00000000-0005-0000-0000-0000704F0000}"/>
    <cellStyle name="Input 13 2" xfId="20056" xr:uid="{00000000-0005-0000-0000-0000714F0000}"/>
    <cellStyle name="Input 14" xfId="987" xr:uid="{00000000-0005-0000-0000-0000724F0000}"/>
    <cellStyle name="Input 2" xfId="102" xr:uid="{00000000-0005-0000-0000-0000734F0000}"/>
    <cellStyle name="Input 2 10" xfId="1700" xr:uid="{00000000-0005-0000-0000-0000744F0000}"/>
    <cellStyle name="Input 2 10 2" xfId="20064" xr:uid="{00000000-0005-0000-0000-0000754F0000}"/>
    <cellStyle name="Input 2 10 3" xfId="20063" xr:uid="{00000000-0005-0000-0000-0000764F0000}"/>
    <cellStyle name="Input 2 11" xfId="2035" xr:uid="{00000000-0005-0000-0000-0000774F0000}"/>
    <cellStyle name="Input 2 11 2" xfId="20066" xr:uid="{00000000-0005-0000-0000-0000784F0000}"/>
    <cellStyle name="Input 2 11 3" xfId="20065" xr:uid="{00000000-0005-0000-0000-0000794F0000}"/>
    <cellStyle name="Input 2 12" xfId="2409" xr:uid="{00000000-0005-0000-0000-00007A4F0000}"/>
    <cellStyle name="Input 2 12 2" xfId="20068" xr:uid="{00000000-0005-0000-0000-00007B4F0000}"/>
    <cellStyle name="Input 2 12 3" xfId="20067" xr:uid="{00000000-0005-0000-0000-00007C4F0000}"/>
    <cellStyle name="Input 2 13" xfId="2782" xr:uid="{00000000-0005-0000-0000-00007D4F0000}"/>
    <cellStyle name="Input 2 13 2" xfId="20070" xr:uid="{00000000-0005-0000-0000-00007E4F0000}"/>
    <cellStyle name="Input 2 13 3" xfId="20069" xr:uid="{00000000-0005-0000-0000-00007F4F0000}"/>
    <cellStyle name="Input 2 14" xfId="3156" xr:uid="{00000000-0005-0000-0000-0000804F0000}"/>
    <cellStyle name="Input 2 14 2" xfId="20072" xr:uid="{00000000-0005-0000-0000-0000814F0000}"/>
    <cellStyle name="Input 2 14 3" xfId="20071" xr:uid="{00000000-0005-0000-0000-0000824F0000}"/>
    <cellStyle name="Input 2 15" xfId="3527" xr:uid="{00000000-0005-0000-0000-0000834F0000}"/>
    <cellStyle name="Input 2 15 2" xfId="20074" xr:uid="{00000000-0005-0000-0000-0000844F0000}"/>
    <cellStyle name="Input 2 15 3" xfId="20073" xr:uid="{00000000-0005-0000-0000-0000854F0000}"/>
    <cellStyle name="Input 2 16" xfId="3665" xr:uid="{00000000-0005-0000-0000-0000864F0000}"/>
    <cellStyle name="Input 2 16 2" xfId="20076" xr:uid="{00000000-0005-0000-0000-0000874F0000}"/>
    <cellStyle name="Input 2 16 3" xfId="20075" xr:uid="{00000000-0005-0000-0000-0000884F0000}"/>
    <cellStyle name="Input 2 17" xfId="20077" xr:uid="{00000000-0005-0000-0000-0000894F0000}"/>
    <cellStyle name="Input 2 17 2" xfId="20078" xr:uid="{00000000-0005-0000-0000-00008A4F0000}"/>
    <cellStyle name="Input 2 18" xfId="20079" xr:uid="{00000000-0005-0000-0000-00008B4F0000}"/>
    <cellStyle name="Input 2 19" xfId="20062" xr:uid="{00000000-0005-0000-0000-00008C4F0000}"/>
    <cellStyle name="Input 2 2" xfId="147" xr:uid="{00000000-0005-0000-0000-00008D4F0000}"/>
    <cellStyle name="Input 2 2 10" xfId="24786" xr:uid="{00000000-0005-0000-0000-00008E4F0000}"/>
    <cellStyle name="Input 2 2 2" xfId="161" xr:uid="{00000000-0005-0000-0000-00008F4F0000}"/>
    <cellStyle name="Input 2 2 2 2" xfId="20082" xr:uid="{00000000-0005-0000-0000-0000904F0000}"/>
    <cellStyle name="Input 2 2 2 3" xfId="20081" xr:uid="{00000000-0005-0000-0000-0000914F0000}"/>
    <cellStyle name="Input 2 2 3" xfId="325" xr:uid="{00000000-0005-0000-0000-0000924F0000}"/>
    <cellStyle name="Input 2 2 3 2" xfId="20084" xr:uid="{00000000-0005-0000-0000-0000934F0000}"/>
    <cellStyle name="Input 2 2 3 3" xfId="20083" xr:uid="{00000000-0005-0000-0000-0000944F0000}"/>
    <cellStyle name="Input 2 2 4" xfId="2148" xr:uid="{00000000-0005-0000-0000-0000954F0000}"/>
    <cellStyle name="Input 2 2 4 2" xfId="20086" xr:uid="{00000000-0005-0000-0000-0000964F0000}"/>
    <cellStyle name="Input 2 2 4 3" xfId="20085" xr:uid="{00000000-0005-0000-0000-0000974F0000}"/>
    <cellStyle name="Input 2 2 5" xfId="2522" xr:uid="{00000000-0005-0000-0000-0000984F0000}"/>
    <cellStyle name="Input 2 2 5 2" xfId="20088" xr:uid="{00000000-0005-0000-0000-0000994F0000}"/>
    <cellStyle name="Input 2 2 5 3" xfId="20087" xr:uid="{00000000-0005-0000-0000-00009A4F0000}"/>
    <cellStyle name="Input 2 2 6" xfId="2894" xr:uid="{00000000-0005-0000-0000-00009B4F0000}"/>
    <cellStyle name="Input 2 2 6 2" xfId="20090" xr:uid="{00000000-0005-0000-0000-00009C4F0000}"/>
    <cellStyle name="Input 2 2 6 3" xfId="20089" xr:uid="{00000000-0005-0000-0000-00009D4F0000}"/>
    <cellStyle name="Input 2 2 7" xfId="3265" xr:uid="{00000000-0005-0000-0000-00009E4F0000}"/>
    <cellStyle name="Input 2 2 7 2" xfId="20092" xr:uid="{00000000-0005-0000-0000-00009F4F0000}"/>
    <cellStyle name="Input 2 2 7 3" xfId="20091" xr:uid="{00000000-0005-0000-0000-0000A04F0000}"/>
    <cellStyle name="Input 2 2 8" xfId="20093" xr:uid="{00000000-0005-0000-0000-0000A14F0000}"/>
    <cellStyle name="Input 2 2 9" xfId="20080" xr:uid="{00000000-0005-0000-0000-0000A24F0000}"/>
    <cellStyle name="Input 2 20" xfId="24499" xr:uid="{00000000-0005-0000-0000-0000A34F0000}"/>
    <cellStyle name="Input 2 3" xfId="311" xr:uid="{00000000-0005-0000-0000-0000A44F0000}"/>
    <cellStyle name="Input 2 3 2" xfId="1324" xr:uid="{00000000-0005-0000-0000-0000A54F0000}"/>
    <cellStyle name="Input 2 3 2 2" xfId="20095" xr:uid="{00000000-0005-0000-0000-0000A64F0000}"/>
    <cellStyle name="Input 2 3 3" xfId="20094" xr:uid="{00000000-0005-0000-0000-0000A74F0000}"/>
    <cellStyle name="Input 2 4" xfId="490" xr:uid="{00000000-0005-0000-0000-0000A84F0000}"/>
    <cellStyle name="Input 2 4 2" xfId="20097" xr:uid="{00000000-0005-0000-0000-0000A94F0000}"/>
    <cellStyle name="Input 2 4 3" xfId="20096" xr:uid="{00000000-0005-0000-0000-0000AA4F0000}"/>
    <cellStyle name="Input 2 5" xfId="618" xr:uid="{00000000-0005-0000-0000-0000AB4F0000}"/>
    <cellStyle name="Input 2 5 2" xfId="20099" xr:uid="{00000000-0005-0000-0000-0000AC4F0000}"/>
    <cellStyle name="Input 2 5 3" xfId="20098" xr:uid="{00000000-0005-0000-0000-0000AD4F0000}"/>
    <cellStyle name="Input 2 6" xfId="774" xr:uid="{00000000-0005-0000-0000-0000AE4F0000}"/>
    <cellStyle name="Input 2 6 2" xfId="20101" xr:uid="{00000000-0005-0000-0000-0000AF4F0000}"/>
    <cellStyle name="Input 2 6 3" xfId="20100" xr:uid="{00000000-0005-0000-0000-0000B04F0000}"/>
    <cellStyle name="Input 2 7" xfId="775" xr:uid="{00000000-0005-0000-0000-0000B14F0000}"/>
    <cellStyle name="Input 2 7 2" xfId="20103" xr:uid="{00000000-0005-0000-0000-0000B24F0000}"/>
    <cellStyle name="Input 2 7 3" xfId="20102" xr:uid="{00000000-0005-0000-0000-0000B34F0000}"/>
    <cellStyle name="Input 2 8" xfId="899" xr:uid="{00000000-0005-0000-0000-0000B44F0000}"/>
    <cellStyle name="Input 2 8 2" xfId="1429" xr:uid="{00000000-0005-0000-0000-0000B54F0000}"/>
    <cellStyle name="Input 2 8 2 2" xfId="20105" xr:uid="{00000000-0005-0000-0000-0000B64F0000}"/>
    <cellStyle name="Input 2 8 3" xfId="20104" xr:uid="{00000000-0005-0000-0000-0000B74F0000}"/>
    <cellStyle name="Input 2 9" xfId="988" xr:uid="{00000000-0005-0000-0000-0000B84F0000}"/>
    <cellStyle name="Input 2 9 2" xfId="1548" xr:uid="{00000000-0005-0000-0000-0000B94F0000}"/>
    <cellStyle name="Input 2 9 2 2" xfId="20107" xr:uid="{00000000-0005-0000-0000-0000BA4F0000}"/>
    <cellStyle name="Input 2 9 3" xfId="20106" xr:uid="{00000000-0005-0000-0000-0000BB4F0000}"/>
    <cellStyle name="Input 3" xfId="202" xr:uid="{00000000-0005-0000-0000-0000BC4F0000}"/>
    <cellStyle name="Input 3 10" xfId="3708" xr:uid="{00000000-0005-0000-0000-0000BD4F0000}"/>
    <cellStyle name="Input 3 10 2" xfId="20110" xr:uid="{00000000-0005-0000-0000-0000BE4F0000}"/>
    <cellStyle name="Input 3 10 3" xfId="20109" xr:uid="{00000000-0005-0000-0000-0000BF4F0000}"/>
    <cellStyle name="Input 3 11" xfId="20111" xr:uid="{00000000-0005-0000-0000-0000C04F0000}"/>
    <cellStyle name="Input 3 11 2" xfId="20112" xr:uid="{00000000-0005-0000-0000-0000C14F0000}"/>
    <cellStyle name="Input 3 12" xfId="20113" xr:uid="{00000000-0005-0000-0000-0000C24F0000}"/>
    <cellStyle name="Input 3 13" xfId="20108" xr:uid="{00000000-0005-0000-0000-0000C34F0000}"/>
    <cellStyle name="Input 3 14" xfId="24536" xr:uid="{00000000-0005-0000-0000-0000C44F0000}"/>
    <cellStyle name="Input 3 2" xfId="1481" xr:uid="{00000000-0005-0000-0000-0000C54F0000}"/>
    <cellStyle name="Input 3 2 2" xfId="1813" xr:uid="{00000000-0005-0000-0000-0000C64F0000}"/>
    <cellStyle name="Input 3 2 2 2" xfId="20116" xr:uid="{00000000-0005-0000-0000-0000C74F0000}"/>
    <cellStyle name="Input 3 2 2 3" xfId="20115" xr:uid="{00000000-0005-0000-0000-0000C84F0000}"/>
    <cellStyle name="Input 3 2 3" xfId="2188" xr:uid="{00000000-0005-0000-0000-0000C94F0000}"/>
    <cellStyle name="Input 3 2 3 2" xfId="20118" xr:uid="{00000000-0005-0000-0000-0000CA4F0000}"/>
    <cellStyle name="Input 3 2 3 3" xfId="20117" xr:uid="{00000000-0005-0000-0000-0000CB4F0000}"/>
    <cellStyle name="Input 3 2 4" xfId="2562" xr:uid="{00000000-0005-0000-0000-0000CC4F0000}"/>
    <cellStyle name="Input 3 2 4 2" xfId="20120" xr:uid="{00000000-0005-0000-0000-0000CD4F0000}"/>
    <cellStyle name="Input 3 2 4 3" xfId="20119" xr:uid="{00000000-0005-0000-0000-0000CE4F0000}"/>
    <cellStyle name="Input 3 2 5" xfId="2934" xr:uid="{00000000-0005-0000-0000-0000CF4F0000}"/>
    <cellStyle name="Input 3 2 5 2" xfId="20122" xr:uid="{00000000-0005-0000-0000-0000D04F0000}"/>
    <cellStyle name="Input 3 2 5 3" xfId="20121" xr:uid="{00000000-0005-0000-0000-0000D14F0000}"/>
    <cellStyle name="Input 3 2 6" xfId="3306" xr:uid="{00000000-0005-0000-0000-0000D24F0000}"/>
    <cellStyle name="Input 3 2 6 2" xfId="20124" xr:uid="{00000000-0005-0000-0000-0000D34F0000}"/>
    <cellStyle name="Input 3 2 6 3" xfId="20123" xr:uid="{00000000-0005-0000-0000-0000D44F0000}"/>
    <cellStyle name="Input 3 2 7" xfId="20125" xr:uid="{00000000-0005-0000-0000-0000D54F0000}"/>
    <cellStyle name="Input 3 2 8" xfId="20114" xr:uid="{00000000-0005-0000-0000-0000D64F0000}"/>
    <cellStyle name="Input 3 3" xfId="1608" xr:uid="{00000000-0005-0000-0000-0000D74F0000}"/>
    <cellStyle name="Input 3 3 2" xfId="1890" xr:uid="{00000000-0005-0000-0000-0000D84F0000}"/>
    <cellStyle name="Input 3 3 2 2" xfId="20128" xr:uid="{00000000-0005-0000-0000-0000D94F0000}"/>
    <cellStyle name="Input 3 3 2 3" xfId="20127" xr:uid="{00000000-0005-0000-0000-0000DA4F0000}"/>
    <cellStyle name="Input 3 3 3" xfId="2265" xr:uid="{00000000-0005-0000-0000-0000DB4F0000}"/>
    <cellStyle name="Input 3 3 3 2" xfId="20130" xr:uid="{00000000-0005-0000-0000-0000DC4F0000}"/>
    <cellStyle name="Input 3 3 3 3" xfId="20129" xr:uid="{00000000-0005-0000-0000-0000DD4F0000}"/>
    <cellStyle name="Input 3 3 4" xfId="2638" xr:uid="{00000000-0005-0000-0000-0000DE4F0000}"/>
    <cellStyle name="Input 3 3 4 2" xfId="20132" xr:uid="{00000000-0005-0000-0000-0000DF4F0000}"/>
    <cellStyle name="Input 3 3 4 3" xfId="20131" xr:uid="{00000000-0005-0000-0000-0000E04F0000}"/>
    <cellStyle name="Input 3 3 5" xfId="3011" xr:uid="{00000000-0005-0000-0000-0000E14F0000}"/>
    <cellStyle name="Input 3 3 5 2" xfId="20134" xr:uid="{00000000-0005-0000-0000-0000E24F0000}"/>
    <cellStyle name="Input 3 3 5 3" xfId="20133" xr:uid="{00000000-0005-0000-0000-0000E34F0000}"/>
    <cellStyle name="Input 3 3 6" xfId="3382" xr:uid="{00000000-0005-0000-0000-0000E44F0000}"/>
    <cellStyle name="Input 3 3 6 2" xfId="20136" xr:uid="{00000000-0005-0000-0000-0000E54F0000}"/>
    <cellStyle name="Input 3 3 6 3" xfId="20135" xr:uid="{00000000-0005-0000-0000-0000E64F0000}"/>
    <cellStyle name="Input 3 3 7" xfId="20137" xr:uid="{00000000-0005-0000-0000-0000E74F0000}"/>
    <cellStyle name="Input 3 3 8" xfId="20126" xr:uid="{00000000-0005-0000-0000-0000E84F0000}"/>
    <cellStyle name="Input 3 4" xfId="1748" xr:uid="{00000000-0005-0000-0000-0000E94F0000}"/>
    <cellStyle name="Input 3 4 2" xfId="1934" xr:uid="{00000000-0005-0000-0000-0000EA4F0000}"/>
    <cellStyle name="Input 3 4 2 2" xfId="20140" xr:uid="{00000000-0005-0000-0000-0000EB4F0000}"/>
    <cellStyle name="Input 3 4 2 3" xfId="20139" xr:uid="{00000000-0005-0000-0000-0000EC4F0000}"/>
    <cellStyle name="Input 3 4 3" xfId="2309" xr:uid="{00000000-0005-0000-0000-0000ED4F0000}"/>
    <cellStyle name="Input 3 4 3 2" xfId="20142" xr:uid="{00000000-0005-0000-0000-0000EE4F0000}"/>
    <cellStyle name="Input 3 4 3 3" xfId="20141" xr:uid="{00000000-0005-0000-0000-0000EF4F0000}"/>
    <cellStyle name="Input 3 4 4" xfId="2682" xr:uid="{00000000-0005-0000-0000-0000F04F0000}"/>
    <cellStyle name="Input 3 4 4 2" xfId="20144" xr:uid="{00000000-0005-0000-0000-0000F14F0000}"/>
    <cellStyle name="Input 3 4 4 3" xfId="20143" xr:uid="{00000000-0005-0000-0000-0000F24F0000}"/>
    <cellStyle name="Input 3 4 5" xfId="3055" xr:uid="{00000000-0005-0000-0000-0000F34F0000}"/>
    <cellStyle name="Input 3 4 5 2" xfId="20146" xr:uid="{00000000-0005-0000-0000-0000F44F0000}"/>
    <cellStyle name="Input 3 4 5 3" xfId="20145" xr:uid="{00000000-0005-0000-0000-0000F54F0000}"/>
    <cellStyle name="Input 3 4 6" xfId="3426" xr:uid="{00000000-0005-0000-0000-0000F64F0000}"/>
    <cellStyle name="Input 3 4 6 2" xfId="20148" xr:uid="{00000000-0005-0000-0000-0000F74F0000}"/>
    <cellStyle name="Input 3 4 6 3" xfId="20147" xr:uid="{00000000-0005-0000-0000-0000F84F0000}"/>
    <cellStyle name="Input 3 4 7" xfId="20149" xr:uid="{00000000-0005-0000-0000-0000F94F0000}"/>
    <cellStyle name="Input 3 4 8" xfId="20138" xr:uid="{00000000-0005-0000-0000-0000FA4F0000}"/>
    <cellStyle name="Input 3 5" xfId="2083" xr:uid="{00000000-0005-0000-0000-0000FB4F0000}"/>
    <cellStyle name="Input 3 5 2" xfId="20151" xr:uid="{00000000-0005-0000-0000-0000FC4F0000}"/>
    <cellStyle name="Input 3 5 3" xfId="20150" xr:uid="{00000000-0005-0000-0000-0000FD4F0000}"/>
    <cellStyle name="Input 3 6" xfId="2457" xr:uid="{00000000-0005-0000-0000-0000FE4F0000}"/>
    <cellStyle name="Input 3 6 2" xfId="20153" xr:uid="{00000000-0005-0000-0000-0000FF4F0000}"/>
    <cellStyle name="Input 3 6 3" xfId="20152" xr:uid="{00000000-0005-0000-0000-000000500000}"/>
    <cellStyle name="Input 3 7" xfId="2829" xr:uid="{00000000-0005-0000-0000-000001500000}"/>
    <cellStyle name="Input 3 7 2" xfId="20155" xr:uid="{00000000-0005-0000-0000-000002500000}"/>
    <cellStyle name="Input 3 7 3" xfId="20154" xr:uid="{00000000-0005-0000-0000-000003500000}"/>
    <cellStyle name="Input 3 8" xfId="3200" xr:uid="{00000000-0005-0000-0000-000004500000}"/>
    <cellStyle name="Input 3 8 2" xfId="20157" xr:uid="{00000000-0005-0000-0000-000005500000}"/>
    <cellStyle name="Input 3 8 3" xfId="20156" xr:uid="{00000000-0005-0000-0000-000006500000}"/>
    <cellStyle name="Input 3 9" xfId="3572" xr:uid="{00000000-0005-0000-0000-000007500000}"/>
    <cellStyle name="Input 3 9 2" xfId="20159" xr:uid="{00000000-0005-0000-0000-000008500000}"/>
    <cellStyle name="Input 3 9 3" xfId="20158" xr:uid="{00000000-0005-0000-0000-000009500000}"/>
    <cellStyle name="Input 4" xfId="268" xr:uid="{00000000-0005-0000-0000-00000A500000}"/>
    <cellStyle name="Input 4 10" xfId="3752" xr:uid="{00000000-0005-0000-0000-00000B500000}"/>
    <cellStyle name="Input 4 10 2" xfId="20162" xr:uid="{00000000-0005-0000-0000-00000C500000}"/>
    <cellStyle name="Input 4 10 3" xfId="20161" xr:uid="{00000000-0005-0000-0000-00000D500000}"/>
    <cellStyle name="Input 4 11" xfId="1284" xr:uid="{00000000-0005-0000-0000-00000E500000}"/>
    <cellStyle name="Input 4 11 2" xfId="20164" xr:uid="{00000000-0005-0000-0000-00000F500000}"/>
    <cellStyle name="Input 4 11 3" xfId="20163" xr:uid="{00000000-0005-0000-0000-000010500000}"/>
    <cellStyle name="Input 4 12" xfId="20165" xr:uid="{00000000-0005-0000-0000-000011500000}"/>
    <cellStyle name="Input 4 13" xfId="20160" xr:uid="{00000000-0005-0000-0000-000012500000}"/>
    <cellStyle name="Input 4 2" xfId="1526" xr:uid="{00000000-0005-0000-0000-000013500000}"/>
    <cellStyle name="Input 4 2 2" xfId="20167" xr:uid="{00000000-0005-0000-0000-000014500000}"/>
    <cellStyle name="Input 4 2 3" xfId="20166" xr:uid="{00000000-0005-0000-0000-000015500000}"/>
    <cellStyle name="Input 4 3" xfId="1651" xr:uid="{00000000-0005-0000-0000-000016500000}"/>
    <cellStyle name="Input 4 3 2" xfId="20169" xr:uid="{00000000-0005-0000-0000-000017500000}"/>
    <cellStyle name="Input 4 3 3" xfId="20168" xr:uid="{00000000-0005-0000-0000-000018500000}"/>
    <cellStyle name="Input 4 4" xfId="1774" xr:uid="{00000000-0005-0000-0000-000019500000}"/>
    <cellStyle name="Input 4 4 2" xfId="20171" xr:uid="{00000000-0005-0000-0000-00001A500000}"/>
    <cellStyle name="Input 4 4 3" xfId="20170" xr:uid="{00000000-0005-0000-0000-00001B500000}"/>
    <cellStyle name="Input 4 5" xfId="2109" xr:uid="{00000000-0005-0000-0000-00001C500000}"/>
    <cellStyle name="Input 4 5 2" xfId="20173" xr:uid="{00000000-0005-0000-0000-00001D500000}"/>
    <cellStyle name="Input 4 5 3" xfId="20172" xr:uid="{00000000-0005-0000-0000-00001E500000}"/>
    <cellStyle name="Input 4 6" xfId="2483" xr:uid="{00000000-0005-0000-0000-00001F500000}"/>
    <cellStyle name="Input 4 6 2" xfId="20175" xr:uid="{00000000-0005-0000-0000-000020500000}"/>
    <cellStyle name="Input 4 6 3" xfId="20174" xr:uid="{00000000-0005-0000-0000-000021500000}"/>
    <cellStyle name="Input 4 7" xfId="2855" xr:uid="{00000000-0005-0000-0000-000022500000}"/>
    <cellStyle name="Input 4 7 2" xfId="20177" xr:uid="{00000000-0005-0000-0000-000023500000}"/>
    <cellStyle name="Input 4 7 3" xfId="20176" xr:uid="{00000000-0005-0000-0000-000024500000}"/>
    <cellStyle name="Input 4 8" xfId="3226" xr:uid="{00000000-0005-0000-0000-000025500000}"/>
    <cellStyle name="Input 4 8 2" xfId="20179" xr:uid="{00000000-0005-0000-0000-000026500000}"/>
    <cellStyle name="Input 4 8 3" xfId="20178" xr:uid="{00000000-0005-0000-0000-000027500000}"/>
    <cellStyle name="Input 4 9" xfId="3615" xr:uid="{00000000-0005-0000-0000-000028500000}"/>
    <cellStyle name="Input 4 9 2" xfId="20181" xr:uid="{00000000-0005-0000-0000-000029500000}"/>
    <cellStyle name="Input 4 9 3" xfId="20180" xr:uid="{00000000-0005-0000-0000-00002A500000}"/>
    <cellStyle name="Input 5" xfId="491" xr:uid="{00000000-0005-0000-0000-00002B500000}"/>
    <cellStyle name="Input 5 2" xfId="1782" xr:uid="{00000000-0005-0000-0000-00002C500000}"/>
    <cellStyle name="Input 5 2 2" xfId="20184" xr:uid="{00000000-0005-0000-0000-00002D500000}"/>
    <cellStyle name="Input 5 2 3" xfId="20183" xr:uid="{00000000-0005-0000-0000-00002E500000}"/>
    <cellStyle name="Input 5 3" xfId="2117" xr:uid="{00000000-0005-0000-0000-00002F500000}"/>
    <cellStyle name="Input 5 3 2" xfId="20186" xr:uid="{00000000-0005-0000-0000-000030500000}"/>
    <cellStyle name="Input 5 3 3" xfId="20185" xr:uid="{00000000-0005-0000-0000-000031500000}"/>
    <cellStyle name="Input 5 4" xfId="2491" xr:uid="{00000000-0005-0000-0000-000032500000}"/>
    <cellStyle name="Input 5 4 2" xfId="20188" xr:uid="{00000000-0005-0000-0000-000033500000}"/>
    <cellStyle name="Input 5 4 3" xfId="20187" xr:uid="{00000000-0005-0000-0000-000034500000}"/>
    <cellStyle name="Input 5 5" xfId="2863" xr:uid="{00000000-0005-0000-0000-000035500000}"/>
    <cellStyle name="Input 5 5 2" xfId="20190" xr:uid="{00000000-0005-0000-0000-000036500000}"/>
    <cellStyle name="Input 5 5 3" xfId="20189" xr:uid="{00000000-0005-0000-0000-000037500000}"/>
    <cellStyle name="Input 5 6" xfId="3234" xr:uid="{00000000-0005-0000-0000-000038500000}"/>
    <cellStyle name="Input 5 6 2" xfId="20192" xr:uid="{00000000-0005-0000-0000-000039500000}"/>
    <cellStyle name="Input 5 6 3" xfId="20191" xr:uid="{00000000-0005-0000-0000-00003A500000}"/>
    <cellStyle name="Input 5 7" xfId="20193" xr:uid="{00000000-0005-0000-0000-00003B500000}"/>
    <cellStyle name="Input 5 7 2" xfId="20194" xr:uid="{00000000-0005-0000-0000-00003C500000}"/>
    <cellStyle name="Input 5 8" xfId="20195" xr:uid="{00000000-0005-0000-0000-00003D500000}"/>
    <cellStyle name="Input 5 9" xfId="20182" xr:uid="{00000000-0005-0000-0000-00003E500000}"/>
    <cellStyle name="Input 6" xfId="492" xr:uid="{00000000-0005-0000-0000-00003F500000}"/>
    <cellStyle name="Input 6 10" xfId="20196" xr:uid="{00000000-0005-0000-0000-000040500000}"/>
    <cellStyle name="Input 6 2" xfId="2002" xr:uid="{00000000-0005-0000-0000-000041500000}"/>
    <cellStyle name="Input 6 2 2" xfId="20198" xr:uid="{00000000-0005-0000-0000-000042500000}"/>
    <cellStyle name="Input 6 2 3" xfId="20197" xr:uid="{00000000-0005-0000-0000-000043500000}"/>
    <cellStyle name="Input 6 3" xfId="2377" xr:uid="{00000000-0005-0000-0000-000044500000}"/>
    <cellStyle name="Input 6 3 2" xfId="20200" xr:uid="{00000000-0005-0000-0000-000045500000}"/>
    <cellStyle name="Input 6 3 3" xfId="20199" xr:uid="{00000000-0005-0000-0000-000046500000}"/>
    <cellStyle name="Input 6 4" xfId="2750" xr:uid="{00000000-0005-0000-0000-000047500000}"/>
    <cellStyle name="Input 6 4 2" xfId="20202" xr:uid="{00000000-0005-0000-0000-000048500000}"/>
    <cellStyle name="Input 6 4 3" xfId="20201" xr:uid="{00000000-0005-0000-0000-000049500000}"/>
    <cellStyle name="Input 6 5" xfId="3123" xr:uid="{00000000-0005-0000-0000-00004A500000}"/>
    <cellStyle name="Input 6 5 2" xfId="20204" xr:uid="{00000000-0005-0000-0000-00004B500000}"/>
    <cellStyle name="Input 6 5 3" xfId="20203" xr:uid="{00000000-0005-0000-0000-00004C500000}"/>
    <cellStyle name="Input 6 6" xfId="3494" xr:uid="{00000000-0005-0000-0000-00004D500000}"/>
    <cellStyle name="Input 6 6 2" xfId="20206" xr:uid="{00000000-0005-0000-0000-00004E500000}"/>
    <cellStyle name="Input 6 6 3" xfId="20205" xr:uid="{00000000-0005-0000-0000-00004F500000}"/>
    <cellStyle name="Input 6 7" xfId="3800" xr:uid="{00000000-0005-0000-0000-000050500000}"/>
    <cellStyle name="Input 6 7 2" xfId="20208" xr:uid="{00000000-0005-0000-0000-000051500000}"/>
    <cellStyle name="Input 6 7 3" xfId="20207" xr:uid="{00000000-0005-0000-0000-000052500000}"/>
    <cellStyle name="Input 6 8" xfId="20209" xr:uid="{00000000-0005-0000-0000-000053500000}"/>
    <cellStyle name="Input 6 8 2" xfId="20210" xr:uid="{00000000-0005-0000-0000-000054500000}"/>
    <cellStyle name="Input 6 9" xfId="20211" xr:uid="{00000000-0005-0000-0000-000055500000}"/>
    <cellStyle name="Input 7" xfId="493" xr:uid="{00000000-0005-0000-0000-000056500000}"/>
    <cellStyle name="Input 7 2" xfId="20213" xr:uid="{00000000-0005-0000-0000-000057500000}"/>
    <cellStyle name="Input 7 3" xfId="20212" xr:uid="{00000000-0005-0000-0000-000058500000}"/>
    <cellStyle name="Input 8" xfId="619" xr:uid="{00000000-0005-0000-0000-000059500000}"/>
    <cellStyle name="Input 8 2" xfId="20215" xr:uid="{00000000-0005-0000-0000-00005A500000}"/>
    <cellStyle name="Input 8 3" xfId="20214" xr:uid="{00000000-0005-0000-0000-00005B500000}"/>
    <cellStyle name="Input 9" xfId="620" xr:uid="{00000000-0005-0000-0000-00005C500000}"/>
    <cellStyle name="Input 9 2" xfId="20217" xr:uid="{00000000-0005-0000-0000-00005D500000}"/>
    <cellStyle name="Input 9 3" xfId="20216" xr:uid="{00000000-0005-0000-0000-00005E500000}"/>
    <cellStyle name="Linked Cell 10" xfId="776" xr:uid="{00000000-0005-0000-0000-00005F500000}"/>
    <cellStyle name="Linked Cell 10 2" xfId="20220" xr:uid="{00000000-0005-0000-0000-000060500000}"/>
    <cellStyle name="Linked Cell 10 3" xfId="20219" xr:uid="{00000000-0005-0000-0000-000061500000}"/>
    <cellStyle name="Linked Cell 11" xfId="777" xr:uid="{00000000-0005-0000-0000-000062500000}"/>
    <cellStyle name="Linked Cell 11 2" xfId="20222" xr:uid="{00000000-0005-0000-0000-000063500000}"/>
    <cellStyle name="Linked Cell 11 3" xfId="20221" xr:uid="{00000000-0005-0000-0000-000064500000}"/>
    <cellStyle name="Linked Cell 12" xfId="900" xr:uid="{00000000-0005-0000-0000-000065500000}"/>
    <cellStyle name="Linked Cell 12 2" xfId="20223" xr:uid="{00000000-0005-0000-0000-000066500000}"/>
    <cellStyle name="Linked Cell 13" xfId="901" xr:uid="{00000000-0005-0000-0000-000067500000}"/>
    <cellStyle name="Linked Cell 13 2" xfId="20218" xr:uid="{00000000-0005-0000-0000-000068500000}"/>
    <cellStyle name="Linked Cell 14" xfId="989" xr:uid="{00000000-0005-0000-0000-000069500000}"/>
    <cellStyle name="Linked Cell 2" xfId="103" xr:uid="{00000000-0005-0000-0000-00006A500000}"/>
    <cellStyle name="Linked Cell 2 10" xfId="1701" xr:uid="{00000000-0005-0000-0000-00006B500000}"/>
    <cellStyle name="Linked Cell 2 10 2" xfId="20226" xr:uid="{00000000-0005-0000-0000-00006C500000}"/>
    <cellStyle name="Linked Cell 2 10 3" xfId="20225" xr:uid="{00000000-0005-0000-0000-00006D500000}"/>
    <cellStyle name="Linked Cell 2 11" xfId="2036" xr:uid="{00000000-0005-0000-0000-00006E500000}"/>
    <cellStyle name="Linked Cell 2 11 2" xfId="20228" xr:uid="{00000000-0005-0000-0000-00006F500000}"/>
    <cellStyle name="Linked Cell 2 11 3" xfId="20227" xr:uid="{00000000-0005-0000-0000-000070500000}"/>
    <cellStyle name="Linked Cell 2 12" xfId="2410" xr:uid="{00000000-0005-0000-0000-000071500000}"/>
    <cellStyle name="Linked Cell 2 12 2" xfId="20230" xr:uid="{00000000-0005-0000-0000-000072500000}"/>
    <cellStyle name="Linked Cell 2 12 3" xfId="20229" xr:uid="{00000000-0005-0000-0000-000073500000}"/>
    <cellStyle name="Linked Cell 2 13" xfId="2783" xr:uid="{00000000-0005-0000-0000-000074500000}"/>
    <cellStyle name="Linked Cell 2 13 2" xfId="20232" xr:uid="{00000000-0005-0000-0000-000075500000}"/>
    <cellStyle name="Linked Cell 2 13 3" xfId="20231" xr:uid="{00000000-0005-0000-0000-000076500000}"/>
    <cellStyle name="Linked Cell 2 14" xfId="3157" xr:uid="{00000000-0005-0000-0000-000077500000}"/>
    <cellStyle name="Linked Cell 2 14 2" xfId="20234" xr:uid="{00000000-0005-0000-0000-000078500000}"/>
    <cellStyle name="Linked Cell 2 14 3" xfId="20233" xr:uid="{00000000-0005-0000-0000-000079500000}"/>
    <cellStyle name="Linked Cell 2 15" xfId="3528" xr:uid="{00000000-0005-0000-0000-00007A500000}"/>
    <cellStyle name="Linked Cell 2 15 2" xfId="20236" xr:uid="{00000000-0005-0000-0000-00007B500000}"/>
    <cellStyle name="Linked Cell 2 15 3" xfId="20235" xr:uid="{00000000-0005-0000-0000-00007C500000}"/>
    <cellStyle name="Linked Cell 2 16" xfId="3666" xr:uid="{00000000-0005-0000-0000-00007D500000}"/>
    <cellStyle name="Linked Cell 2 16 2" xfId="20238" xr:uid="{00000000-0005-0000-0000-00007E500000}"/>
    <cellStyle name="Linked Cell 2 16 3" xfId="20237" xr:uid="{00000000-0005-0000-0000-00007F500000}"/>
    <cellStyle name="Linked Cell 2 17" xfId="20239" xr:uid="{00000000-0005-0000-0000-000080500000}"/>
    <cellStyle name="Linked Cell 2 17 2" xfId="20240" xr:uid="{00000000-0005-0000-0000-000081500000}"/>
    <cellStyle name="Linked Cell 2 18" xfId="20241" xr:uid="{00000000-0005-0000-0000-000082500000}"/>
    <cellStyle name="Linked Cell 2 19" xfId="20224" xr:uid="{00000000-0005-0000-0000-000083500000}"/>
    <cellStyle name="Linked Cell 2 2" xfId="148" xr:uid="{00000000-0005-0000-0000-000084500000}"/>
    <cellStyle name="Linked Cell 2 2 2" xfId="164" xr:uid="{00000000-0005-0000-0000-000085500000}"/>
    <cellStyle name="Linked Cell 2 2 2 2" xfId="20244" xr:uid="{00000000-0005-0000-0000-000086500000}"/>
    <cellStyle name="Linked Cell 2 2 2 3" xfId="20243" xr:uid="{00000000-0005-0000-0000-000087500000}"/>
    <cellStyle name="Linked Cell 2 2 3" xfId="328" xr:uid="{00000000-0005-0000-0000-000088500000}"/>
    <cellStyle name="Linked Cell 2 2 3 2" xfId="20246" xr:uid="{00000000-0005-0000-0000-000089500000}"/>
    <cellStyle name="Linked Cell 2 2 3 3" xfId="20245" xr:uid="{00000000-0005-0000-0000-00008A500000}"/>
    <cellStyle name="Linked Cell 2 2 4" xfId="2151" xr:uid="{00000000-0005-0000-0000-00008B500000}"/>
    <cellStyle name="Linked Cell 2 2 4 2" xfId="20248" xr:uid="{00000000-0005-0000-0000-00008C500000}"/>
    <cellStyle name="Linked Cell 2 2 4 3" xfId="20247" xr:uid="{00000000-0005-0000-0000-00008D500000}"/>
    <cellStyle name="Linked Cell 2 2 5" xfId="2525" xr:uid="{00000000-0005-0000-0000-00008E500000}"/>
    <cellStyle name="Linked Cell 2 2 5 2" xfId="20250" xr:uid="{00000000-0005-0000-0000-00008F500000}"/>
    <cellStyle name="Linked Cell 2 2 5 3" xfId="20249" xr:uid="{00000000-0005-0000-0000-000090500000}"/>
    <cellStyle name="Linked Cell 2 2 6" xfId="2897" xr:uid="{00000000-0005-0000-0000-000091500000}"/>
    <cellStyle name="Linked Cell 2 2 6 2" xfId="20252" xr:uid="{00000000-0005-0000-0000-000092500000}"/>
    <cellStyle name="Linked Cell 2 2 6 3" xfId="20251" xr:uid="{00000000-0005-0000-0000-000093500000}"/>
    <cellStyle name="Linked Cell 2 2 7" xfId="3268" xr:uid="{00000000-0005-0000-0000-000094500000}"/>
    <cellStyle name="Linked Cell 2 2 7 2" xfId="20254" xr:uid="{00000000-0005-0000-0000-000095500000}"/>
    <cellStyle name="Linked Cell 2 2 7 3" xfId="20253" xr:uid="{00000000-0005-0000-0000-000096500000}"/>
    <cellStyle name="Linked Cell 2 2 8" xfId="20255" xr:uid="{00000000-0005-0000-0000-000097500000}"/>
    <cellStyle name="Linked Cell 2 2 9" xfId="20242" xr:uid="{00000000-0005-0000-0000-000098500000}"/>
    <cellStyle name="Linked Cell 2 20" xfId="24500" xr:uid="{00000000-0005-0000-0000-000099500000}"/>
    <cellStyle name="Linked Cell 2 3" xfId="312" xr:uid="{00000000-0005-0000-0000-00009A500000}"/>
    <cellStyle name="Linked Cell 2 3 2" xfId="1327" xr:uid="{00000000-0005-0000-0000-00009B500000}"/>
    <cellStyle name="Linked Cell 2 3 2 2" xfId="20257" xr:uid="{00000000-0005-0000-0000-00009C500000}"/>
    <cellStyle name="Linked Cell 2 3 3" xfId="20256" xr:uid="{00000000-0005-0000-0000-00009D500000}"/>
    <cellStyle name="Linked Cell 2 4" xfId="494" xr:uid="{00000000-0005-0000-0000-00009E500000}"/>
    <cellStyle name="Linked Cell 2 4 2" xfId="20259" xr:uid="{00000000-0005-0000-0000-00009F500000}"/>
    <cellStyle name="Linked Cell 2 4 3" xfId="20258" xr:uid="{00000000-0005-0000-0000-0000A0500000}"/>
    <cellStyle name="Linked Cell 2 5" xfId="621" xr:uid="{00000000-0005-0000-0000-0000A1500000}"/>
    <cellStyle name="Linked Cell 2 5 2" xfId="20261" xr:uid="{00000000-0005-0000-0000-0000A2500000}"/>
    <cellStyle name="Linked Cell 2 5 3" xfId="20260" xr:uid="{00000000-0005-0000-0000-0000A3500000}"/>
    <cellStyle name="Linked Cell 2 6" xfId="778" xr:uid="{00000000-0005-0000-0000-0000A4500000}"/>
    <cellStyle name="Linked Cell 2 6 2" xfId="20263" xr:uid="{00000000-0005-0000-0000-0000A5500000}"/>
    <cellStyle name="Linked Cell 2 6 3" xfId="20262" xr:uid="{00000000-0005-0000-0000-0000A6500000}"/>
    <cellStyle name="Linked Cell 2 7" xfId="779" xr:uid="{00000000-0005-0000-0000-0000A7500000}"/>
    <cellStyle name="Linked Cell 2 7 2" xfId="20265" xr:uid="{00000000-0005-0000-0000-0000A8500000}"/>
    <cellStyle name="Linked Cell 2 7 3" xfId="20264" xr:uid="{00000000-0005-0000-0000-0000A9500000}"/>
    <cellStyle name="Linked Cell 2 8" xfId="902" xr:uid="{00000000-0005-0000-0000-0000AA500000}"/>
    <cellStyle name="Linked Cell 2 8 2" xfId="1430" xr:uid="{00000000-0005-0000-0000-0000AB500000}"/>
    <cellStyle name="Linked Cell 2 8 2 2" xfId="20267" xr:uid="{00000000-0005-0000-0000-0000AC500000}"/>
    <cellStyle name="Linked Cell 2 8 3" xfId="20266" xr:uid="{00000000-0005-0000-0000-0000AD500000}"/>
    <cellStyle name="Linked Cell 2 9" xfId="990" xr:uid="{00000000-0005-0000-0000-0000AE500000}"/>
    <cellStyle name="Linked Cell 2 9 2" xfId="1547" xr:uid="{00000000-0005-0000-0000-0000AF500000}"/>
    <cellStyle name="Linked Cell 2 9 2 2" xfId="20269" xr:uid="{00000000-0005-0000-0000-0000B0500000}"/>
    <cellStyle name="Linked Cell 2 9 3" xfId="20268" xr:uid="{00000000-0005-0000-0000-0000B1500000}"/>
    <cellStyle name="Linked Cell 3" xfId="205" xr:uid="{00000000-0005-0000-0000-0000B2500000}"/>
    <cellStyle name="Linked Cell 3 10" xfId="3709" xr:uid="{00000000-0005-0000-0000-0000B3500000}"/>
    <cellStyle name="Linked Cell 3 10 2" xfId="20272" xr:uid="{00000000-0005-0000-0000-0000B4500000}"/>
    <cellStyle name="Linked Cell 3 10 3" xfId="20271" xr:uid="{00000000-0005-0000-0000-0000B5500000}"/>
    <cellStyle name="Linked Cell 3 11" xfId="20273" xr:uid="{00000000-0005-0000-0000-0000B6500000}"/>
    <cellStyle name="Linked Cell 3 11 2" xfId="20274" xr:uid="{00000000-0005-0000-0000-0000B7500000}"/>
    <cellStyle name="Linked Cell 3 12" xfId="20275" xr:uid="{00000000-0005-0000-0000-0000B8500000}"/>
    <cellStyle name="Linked Cell 3 13" xfId="20270" xr:uid="{00000000-0005-0000-0000-0000B9500000}"/>
    <cellStyle name="Linked Cell 3 2" xfId="1482" xr:uid="{00000000-0005-0000-0000-0000BA500000}"/>
    <cellStyle name="Linked Cell 3 2 2" xfId="1816" xr:uid="{00000000-0005-0000-0000-0000BB500000}"/>
    <cellStyle name="Linked Cell 3 2 2 2" xfId="20278" xr:uid="{00000000-0005-0000-0000-0000BC500000}"/>
    <cellStyle name="Linked Cell 3 2 2 3" xfId="20277" xr:uid="{00000000-0005-0000-0000-0000BD500000}"/>
    <cellStyle name="Linked Cell 3 2 3" xfId="2191" xr:uid="{00000000-0005-0000-0000-0000BE500000}"/>
    <cellStyle name="Linked Cell 3 2 3 2" xfId="20280" xr:uid="{00000000-0005-0000-0000-0000BF500000}"/>
    <cellStyle name="Linked Cell 3 2 3 3" xfId="20279" xr:uid="{00000000-0005-0000-0000-0000C0500000}"/>
    <cellStyle name="Linked Cell 3 2 4" xfId="2565" xr:uid="{00000000-0005-0000-0000-0000C1500000}"/>
    <cellStyle name="Linked Cell 3 2 4 2" xfId="20282" xr:uid="{00000000-0005-0000-0000-0000C2500000}"/>
    <cellStyle name="Linked Cell 3 2 4 3" xfId="20281" xr:uid="{00000000-0005-0000-0000-0000C3500000}"/>
    <cellStyle name="Linked Cell 3 2 5" xfId="2937" xr:uid="{00000000-0005-0000-0000-0000C4500000}"/>
    <cellStyle name="Linked Cell 3 2 5 2" xfId="20284" xr:uid="{00000000-0005-0000-0000-0000C5500000}"/>
    <cellStyle name="Linked Cell 3 2 5 3" xfId="20283" xr:uid="{00000000-0005-0000-0000-0000C6500000}"/>
    <cellStyle name="Linked Cell 3 2 6" xfId="3309" xr:uid="{00000000-0005-0000-0000-0000C7500000}"/>
    <cellStyle name="Linked Cell 3 2 6 2" xfId="20286" xr:uid="{00000000-0005-0000-0000-0000C8500000}"/>
    <cellStyle name="Linked Cell 3 2 6 3" xfId="20285" xr:uid="{00000000-0005-0000-0000-0000C9500000}"/>
    <cellStyle name="Linked Cell 3 2 7" xfId="20287" xr:uid="{00000000-0005-0000-0000-0000CA500000}"/>
    <cellStyle name="Linked Cell 3 2 8" xfId="20276" xr:uid="{00000000-0005-0000-0000-0000CB500000}"/>
    <cellStyle name="Linked Cell 3 3" xfId="1609" xr:uid="{00000000-0005-0000-0000-0000CC500000}"/>
    <cellStyle name="Linked Cell 3 3 2" xfId="1893" xr:uid="{00000000-0005-0000-0000-0000CD500000}"/>
    <cellStyle name="Linked Cell 3 3 2 2" xfId="20290" xr:uid="{00000000-0005-0000-0000-0000CE500000}"/>
    <cellStyle name="Linked Cell 3 3 2 3" xfId="20289" xr:uid="{00000000-0005-0000-0000-0000CF500000}"/>
    <cellStyle name="Linked Cell 3 3 3" xfId="2268" xr:uid="{00000000-0005-0000-0000-0000D0500000}"/>
    <cellStyle name="Linked Cell 3 3 3 2" xfId="20292" xr:uid="{00000000-0005-0000-0000-0000D1500000}"/>
    <cellStyle name="Linked Cell 3 3 3 3" xfId="20291" xr:uid="{00000000-0005-0000-0000-0000D2500000}"/>
    <cellStyle name="Linked Cell 3 3 4" xfId="2641" xr:uid="{00000000-0005-0000-0000-0000D3500000}"/>
    <cellStyle name="Linked Cell 3 3 4 2" xfId="20294" xr:uid="{00000000-0005-0000-0000-0000D4500000}"/>
    <cellStyle name="Linked Cell 3 3 4 3" xfId="20293" xr:uid="{00000000-0005-0000-0000-0000D5500000}"/>
    <cellStyle name="Linked Cell 3 3 5" xfId="3014" xr:uid="{00000000-0005-0000-0000-0000D6500000}"/>
    <cellStyle name="Linked Cell 3 3 5 2" xfId="20296" xr:uid="{00000000-0005-0000-0000-0000D7500000}"/>
    <cellStyle name="Linked Cell 3 3 5 3" xfId="20295" xr:uid="{00000000-0005-0000-0000-0000D8500000}"/>
    <cellStyle name="Linked Cell 3 3 6" xfId="3385" xr:uid="{00000000-0005-0000-0000-0000D9500000}"/>
    <cellStyle name="Linked Cell 3 3 6 2" xfId="20298" xr:uid="{00000000-0005-0000-0000-0000DA500000}"/>
    <cellStyle name="Linked Cell 3 3 6 3" xfId="20297" xr:uid="{00000000-0005-0000-0000-0000DB500000}"/>
    <cellStyle name="Linked Cell 3 3 7" xfId="20299" xr:uid="{00000000-0005-0000-0000-0000DC500000}"/>
    <cellStyle name="Linked Cell 3 3 8" xfId="20288" xr:uid="{00000000-0005-0000-0000-0000DD500000}"/>
    <cellStyle name="Linked Cell 3 4" xfId="1749" xr:uid="{00000000-0005-0000-0000-0000DE500000}"/>
    <cellStyle name="Linked Cell 3 4 2" xfId="1937" xr:uid="{00000000-0005-0000-0000-0000DF500000}"/>
    <cellStyle name="Linked Cell 3 4 2 2" xfId="20302" xr:uid="{00000000-0005-0000-0000-0000E0500000}"/>
    <cellStyle name="Linked Cell 3 4 2 3" xfId="20301" xr:uid="{00000000-0005-0000-0000-0000E1500000}"/>
    <cellStyle name="Linked Cell 3 4 3" xfId="2312" xr:uid="{00000000-0005-0000-0000-0000E2500000}"/>
    <cellStyle name="Linked Cell 3 4 3 2" xfId="20304" xr:uid="{00000000-0005-0000-0000-0000E3500000}"/>
    <cellStyle name="Linked Cell 3 4 3 3" xfId="20303" xr:uid="{00000000-0005-0000-0000-0000E4500000}"/>
    <cellStyle name="Linked Cell 3 4 4" xfId="2685" xr:uid="{00000000-0005-0000-0000-0000E5500000}"/>
    <cellStyle name="Linked Cell 3 4 4 2" xfId="20306" xr:uid="{00000000-0005-0000-0000-0000E6500000}"/>
    <cellStyle name="Linked Cell 3 4 4 3" xfId="20305" xr:uid="{00000000-0005-0000-0000-0000E7500000}"/>
    <cellStyle name="Linked Cell 3 4 5" xfId="3058" xr:uid="{00000000-0005-0000-0000-0000E8500000}"/>
    <cellStyle name="Linked Cell 3 4 5 2" xfId="20308" xr:uid="{00000000-0005-0000-0000-0000E9500000}"/>
    <cellStyle name="Linked Cell 3 4 5 3" xfId="20307" xr:uid="{00000000-0005-0000-0000-0000EA500000}"/>
    <cellStyle name="Linked Cell 3 4 6" xfId="3429" xr:uid="{00000000-0005-0000-0000-0000EB500000}"/>
    <cellStyle name="Linked Cell 3 4 6 2" xfId="20310" xr:uid="{00000000-0005-0000-0000-0000EC500000}"/>
    <cellStyle name="Linked Cell 3 4 6 3" xfId="20309" xr:uid="{00000000-0005-0000-0000-0000ED500000}"/>
    <cellStyle name="Linked Cell 3 4 7" xfId="20311" xr:uid="{00000000-0005-0000-0000-0000EE500000}"/>
    <cellStyle name="Linked Cell 3 4 8" xfId="20300" xr:uid="{00000000-0005-0000-0000-0000EF500000}"/>
    <cellStyle name="Linked Cell 3 5" xfId="2084" xr:uid="{00000000-0005-0000-0000-0000F0500000}"/>
    <cellStyle name="Linked Cell 3 5 2" xfId="20313" xr:uid="{00000000-0005-0000-0000-0000F1500000}"/>
    <cellStyle name="Linked Cell 3 5 3" xfId="20312" xr:uid="{00000000-0005-0000-0000-0000F2500000}"/>
    <cellStyle name="Linked Cell 3 6" xfId="2458" xr:uid="{00000000-0005-0000-0000-0000F3500000}"/>
    <cellStyle name="Linked Cell 3 6 2" xfId="20315" xr:uid="{00000000-0005-0000-0000-0000F4500000}"/>
    <cellStyle name="Linked Cell 3 6 3" xfId="20314" xr:uid="{00000000-0005-0000-0000-0000F5500000}"/>
    <cellStyle name="Linked Cell 3 7" xfId="2830" xr:uid="{00000000-0005-0000-0000-0000F6500000}"/>
    <cellStyle name="Linked Cell 3 7 2" xfId="20317" xr:uid="{00000000-0005-0000-0000-0000F7500000}"/>
    <cellStyle name="Linked Cell 3 7 3" xfId="20316" xr:uid="{00000000-0005-0000-0000-0000F8500000}"/>
    <cellStyle name="Linked Cell 3 8" xfId="3201" xr:uid="{00000000-0005-0000-0000-0000F9500000}"/>
    <cellStyle name="Linked Cell 3 8 2" xfId="20319" xr:uid="{00000000-0005-0000-0000-0000FA500000}"/>
    <cellStyle name="Linked Cell 3 8 3" xfId="20318" xr:uid="{00000000-0005-0000-0000-0000FB500000}"/>
    <cellStyle name="Linked Cell 3 9" xfId="3573" xr:uid="{00000000-0005-0000-0000-0000FC500000}"/>
    <cellStyle name="Linked Cell 3 9 2" xfId="20321" xr:uid="{00000000-0005-0000-0000-0000FD500000}"/>
    <cellStyle name="Linked Cell 3 9 3" xfId="20320" xr:uid="{00000000-0005-0000-0000-0000FE500000}"/>
    <cellStyle name="Linked Cell 4" xfId="269" xr:uid="{00000000-0005-0000-0000-0000FF500000}"/>
    <cellStyle name="Linked Cell 4 10" xfId="3753" xr:uid="{00000000-0005-0000-0000-000000510000}"/>
    <cellStyle name="Linked Cell 4 10 2" xfId="20324" xr:uid="{00000000-0005-0000-0000-000001510000}"/>
    <cellStyle name="Linked Cell 4 10 3" xfId="20323" xr:uid="{00000000-0005-0000-0000-000002510000}"/>
    <cellStyle name="Linked Cell 4 11" xfId="1287" xr:uid="{00000000-0005-0000-0000-000003510000}"/>
    <cellStyle name="Linked Cell 4 11 2" xfId="20326" xr:uid="{00000000-0005-0000-0000-000004510000}"/>
    <cellStyle name="Linked Cell 4 11 3" xfId="20325" xr:uid="{00000000-0005-0000-0000-000005510000}"/>
    <cellStyle name="Linked Cell 4 12" xfId="20327" xr:uid="{00000000-0005-0000-0000-000006510000}"/>
    <cellStyle name="Linked Cell 4 13" xfId="20322" xr:uid="{00000000-0005-0000-0000-000007510000}"/>
    <cellStyle name="Linked Cell 4 2" xfId="1527" xr:uid="{00000000-0005-0000-0000-000008510000}"/>
    <cellStyle name="Linked Cell 4 2 2" xfId="20329" xr:uid="{00000000-0005-0000-0000-000009510000}"/>
    <cellStyle name="Linked Cell 4 2 3" xfId="20328" xr:uid="{00000000-0005-0000-0000-00000A510000}"/>
    <cellStyle name="Linked Cell 4 3" xfId="1652" xr:uid="{00000000-0005-0000-0000-00000B510000}"/>
    <cellStyle name="Linked Cell 4 3 2" xfId="20331" xr:uid="{00000000-0005-0000-0000-00000C510000}"/>
    <cellStyle name="Linked Cell 4 3 3" xfId="20330" xr:uid="{00000000-0005-0000-0000-00000D510000}"/>
    <cellStyle name="Linked Cell 4 4" xfId="1773" xr:uid="{00000000-0005-0000-0000-00000E510000}"/>
    <cellStyle name="Linked Cell 4 4 2" xfId="20333" xr:uid="{00000000-0005-0000-0000-00000F510000}"/>
    <cellStyle name="Linked Cell 4 4 3" xfId="20332" xr:uid="{00000000-0005-0000-0000-000010510000}"/>
    <cellStyle name="Linked Cell 4 5" xfId="2108" xr:uid="{00000000-0005-0000-0000-000011510000}"/>
    <cellStyle name="Linked Cell 4 5 2" xfId="20335" xr:uid="{00000000-0005-0000-0000-000012510000}"/>
    <cellStyle name="Linked Cell 4 5 3" xfId="20334" xr:uid="{00000000-0005-0000-0000-000013510000}"/>
    <cellStyle name="Linked Cell 4 6" xfId="2482" xr:uid="{00000000-0005-0000-0000-000014510000}"/>
    <cellStyle name="Linked Cell 4 6 2" xfId="20337" xr:uid="{00000000-0005-0000-0000-000015510000}"/>
    <cellStyle name="Linked Cell 4 6 3" xfId="20336" xr:uid="{00000000-0005-0000-0000-000016510000}"/>
    <cellStyle name="Linked Cell 4 7" xfId="2854" xr:uid="{00000000-0005-0000-0000-000017510000}"/>
    <cellStyle name="Linked Cell 4 7 2" xfId="20339" xr:uid="{00000000-0005-0000-0000-000018510000}"/>
    <cellStyle name="Linked Cell 4 7 3" xfId="20338" xr:uid="{00000000-0005-0000-0000-000019510000}"/>
    <cellStyle name="Linked Cell 4 8" xfId="3225" xr:uid="{00000000-0005-0000-0000-00001A510000}"/>
    <cellStyle name="Linked Cell 4 8 2" xfId="20341" xr:uid="{00000000-0005-0000-0000-00001B510000}"/>
    <cellStyle name="Linked Cell 4 8 3" xfId="20340" xr:uid="{00000000-0005-0000-0000-00001C510000}"/>
    <cellStyle name="Linked Cell 4 9" xfId="3616" xr:uid="{00000000-0005-0000-0000-00001D510000}"/>
    <cellStyle name="Linked Cell 4 9 2" xfId="20343" xr:uid="{00000000-0005-0000-0000-00001E510000}"/>
    <cellStyle name="Linked Cell 4 9 3" xfId="20342" xr:uid="{00000000-0005-0000-0000-00001F510000}"/>
    <cellStyle name="Linked Cell 5" xfId="495" xr:uid="{00000000-0005-0000-0000-000020510000}"/>
    <cellStyle name="Linked Cell 5 2" xfId="1762" xr:uid="{00000000-0005-0000-0000-000021510000}"/>
    <cellStyle name="Linked Cell 5 2 2" xfId="20346" xr:uid="{00000000-0005-0000-0000-000022510000}"/>
    <cellStyle name="Linked Cell 5 2 3" xfId="20345" xr:uid="{00000000-0005-0000-0000-000023510000}"/>
    <cellStyle name="Linked Cell 5 3" xfId="2097" xr:uid="{00000000-0005-0000-0000-000024510000}"/>
    <cellStyle name="Linked Cell 5 3 2" xfId="20348" xr:uid="{00000000-0005-0000-0000-000025510000}"/>
    <cellStyle name="Linked Cell 5 3 3" xfId="20347" xr:uid="{00000000-0005-0000-0000-000026510000}"/>
    <cellStyle name="Linked Cell 5 4" xfId="2471" xr:uid="{00000000-0005-0000-0000-000027510000}"/>
    <cellStyle name="Linked Cell 5 4 2" xfId="20350" xr:uid="{00000000-0005-0000-0000-000028510000}"/>
    <cellStyle name="Linked Cell 5 4 3" xfId="20349" xr:uid="{00000000-0005-0000-0000-000029510000}"/>
    <cellStyle name="Linked Cell 5 5" xfId="2843" xr:uid="{00000000-0005-0000-0000-00002A510000}"/>
    <cellStyle name="Linked Cell 5 5 2" xfId="20352" xr:uid="{00000000-0005-0000-0000-00002B510000}"/>
    <cellStyle name="Linked Cell 5 5 3" xfId="20351" xr:uid="{00000000-0005-0000-0000-00002C510000}"/>
    <cellStyle name="Linked Cell 5 6" xfId="3214" xr:uid="{00000000-0005-0000-0000-00002D510000}"/>
    <cellStyle name="Linked Cell 5 6 2" xfId="20354" xr:uid="{00000000-0005-0000-0000-00002E510000}"/>
    <cellStyle name="Linked Cell 5 6 3" xfId="20353" xr:uid="{00000000-0005-0000-0000-00002F510000}"/>
    <cellStyle name="Linked Cell 5 7" xfId="20355" xr:uid="{00000000-0005-0000-0000-000030510000}"/>
    <cellStyle name="Linked Cell 5 7 2" xfId="20356" xr:uid="{00000000-0005-0000-0000-000031510000}"/>
    <cellStyle name="Linked Cell 5 8" xfId="20357" xr:uid="{00000000-0005-0000-0000-000032510000}"/>
    <cellStyle name="Linked Cell 5 9" xfId="20344" xr:uid="{00000000-0005-0000-0000-000033510000}"/>
    <cellStyle name="Linked Cell 6" xfId="496" xr:uid="{00000000-0005-0000-0000-000034510000}"/>
    <cellStyle name="Linked Cell 6 10" xfId="20358" xr:uid="{00000000-0005-0000-0000-000035510000}"/>
    <cellStyle name="Linked Cell 6 2" xfId="2003" xr:uid="{00000000-0005-0000-0000-000036510000}"/>
    <cellStyle name="Linked Cell 6 2 2" xfId="20360" xr:uid="{00000000-0005-0000-0000-000037510000}"/>
    <cellStyle name="Linked Cell 6 2 3" xfId="20359" xr:uid="{00000000-0005-0000-0000-000038510000}"/>
    <cellStyle name="Linked Cell 6 3" xfId="2378" xr:uid="{00000000-0005-0000-0000-000039510000}"/>
    <cellStyle name="Linked Cell 6 3 2" xfId="20362" xr:uid="{00000000-0005-0000-0000-00003A510000}"/>
    <cellStyle name="Linked Cell 6 3 3" xfId="20361" xr:uid="{00000000-0005-0000-0000-00003B510000}"/>
    <cellStyle name="Linked Cell 6 4" xfId="2751" xr:uid="{00000000-0005-0000-0000-00003C510000}"/>
    <cellStyle name="Linked Cell 6 4 2" xfId="20364" xr:uid="{00000000-0005-0000-0000-00003D510000}"/>
    <cellStyle name="Linked Cell 6 4 3" xfId="20363" xr:uid="{00000000-0005-0000-0000-00003E510000}"/>
    <cellStyle name="Linked Cell 6 5" xfId="3124" xr:uid="{00000000-0005-0000-0000-00003F510000}"/>
    <cellStyle name="Linked Cell 6 5 2" xfId="20366" xr:uid="{00000000-0005-0000-0000-000040510000}"/>
    <cellStyle name="Linked Cell 6 5 3" xfId="20365" xr:uid="{00000000-0005-0000-0000-000041510000}"/>
    <cellStyle name="Linked Cell 6 6" xfId="3495" xr:uid="{00000000-0005-0000-0000-000042510000}"/>
    <cellStyle name="Linked Cell 6 6 2" xfId="20368" xr:uid="{00000000-0005-0000-0000-000043510000}"/>
    <cellStyle name="Linked Cell 6 6 3" xfId="20367" xr:uid="{00000000-0005-0000-0000-000044510000}"/>
    <cellStyle name="Linked Cell 6 7" xfId="3801" xr:uid="{00000000-0005-0000-0000-000045510000}"/>
    <cellStyle name="Linked Cell 6 7 2" xfId="20370" xr:uid="{00000000-0005-0000-0000-000046510000}"/>
    <cellStyle name="Linked Cell 6 7 3" xfId="20369" xr:uid="{00000000-0005-0000-0000-000047510000}"/>
    <cellStyle name="Linked Cell 6 8" xfId="20371" xr:uid="{00000000-0005-0000-0000-000048510000}"/>
    <cellStyle name="Linked Cell 6 8 2" xfId="20372" xr:uid="{00000000-0005-0000-0000-000049510000}"/>
    <cellStyle name="Linked Cell 6 9" xfId="20373" xr:uid="{00000000-0005-0000-0000-00004A510000}"/>
    <cellStyle name="Linked Cell 7" xfId="497" xr:uid="{00000000-0005-0000-0000-00004B510000}"/>
    <cellStyle name="Linked Cell 7 2" xfId="20375" xr:uid="{00000000-0005-0000-0000-00004C510000}"/>
    <cellStyle name="Linked Cell 7 3" xfId="20374" xr:uid="{00000000-0005-0000-0000-00004D510000}"/>
    <cellStyle name="Linked Cell 8" xfId="622" xr:uid="{00000000-0005-0000-0000-00004E510000}"/>
    <cellStyle name="Linked Cell 8 2" xfId="20377" xr:uid="{00000000-0005-0000-0000-00004F510000}"/>
    <cellStyle name="Linked Cell 8 3" xfId="20376" xr:uid="{00000000-0005-0000-0000-000050510000}"/>
    <cellStyle name="Linked Cell 9" xfId="623" xr:uid="{00000000-0005-0000-0000-000051510000}"/>
    <cellStyle name="Linked Cell 9 2" xfId="20379" xr:uid="{00000000-0005-0000-0000-000052510000}"/>
    <cellStyle name="Linked Cell 9 3" xfId="20378" xr:uid="{00000000-0005-0000-0000-000053510000}"/>
    <cellStyle name="Neutral 10" xfId="780" xr:uid="{00000000-0005-0000-0000-000054510000}"/>
    <cellStyle name="Neutral 10 2" xfId="20382" xr:uid="{00000000-0005-0000-0000-000055510000}"/>
    <cellStyle name="Neutral 10 3" xfId="20381" xr:uid="{00000000-0005-0000-0000-000056510000}"/>
    <cellStyle name="Neutral 11" xfId="781" xr:uid="{00000000-0005-0000-0000-000057510000}"/>
    <cellStyle name="Neutral 11 2" xfId="20384" xr:uid="{00000000-0005-0000-0000-000058510000}"/>
    <cellStyle name="Neutral 11 3" xfId="20383" xr:uid="{00000000-0005-0000-0000-000059510000}"/>
    <cellStyle name="Neutral 12" xfId="903" xr:uid="{00000000-0005-0000-0000-00005A510000}"/>
    <cellStyle name="Neutral 12 2" xfId="20385" xr:uid="{00000000-0005-0000-0000-00005B510000}"/>
    <cellStyle name="Neutral 13" xfId="904" xr:uid="{00000000-0005-0000-0000-00005C510000}"/>
    <cellStyle name="Neutral 13 2" xfId="20380" xr:uid="{00000000-0005-0000-0000-00005D510000}"/>
    <cellStyle name="Neutral 14" xfId="991" xr:uid="{00000000-0005-0000-0000-00005E510000}"/>
    <cellStyle name="Neutral 2" xfId="104" xr:uid="{00000000-0005-0000-0000-00005F510000}"/>
    <cellStyle name="Neutral 2 10" xfId="1702" xr:uid="{00000000-0005-0000-0000-000060510000}"/>
    <cellStyle name="Neutral 2 10 2" xfId="20388" xr:uid="{00000000-0005-0000-0000-000061510000}"/>
    <cellStyle name="Neutral 2 10 3" xfId="20387" xr:uid="{00000000-0005-0000-0000-000062510000}"/>
    <cellStyle name="Neutral 2 11" xfId="2037" xr:uid="{00000000-0005-0000-0000-000063510000}"/>
    <cellStyle name="Neutral 2 11 2" xfId="20390" xr:uid="{00000000-0005-0000-0000-000064510000}"/>
    <cellStyle name="Neutral 2 11 3" xfId="20389" xr:uid="{00000000-0005-0000-0000-000065510000}"/>
    <cellStyle name="Neutral 2 12" xfId="2411" xr:uid="{00000000-0005-0000-0000-000066510000}"/>
    <cellStyle name="Neutral 2 12 2" xfId="20392" xr:uid="{00000000-0005-0000-0000-000067510000}"/>
    <cellStyle name="Neutral 2 12 3" xfId="20391" xr:uid="{00000000-0005-0000-0000-000068510000}"/>
    <cellStyle name="Neutral 2 13" xfId="2784" xr:uid="{00000000-0005-0000-0000-000069510000}"/>
    <cellStyle name="Neutral 2 13 2" xfId="20394" xr:uid="{00000000-0005-0000-0000-00006A510000}"/>
    <cellStyle name="Neutral 2 13 3" xfId="20393" xr:uid="{00000000-0005-0000-0000-00006B510000}"/>
    <cellStyle name="Neutral 2 14" xfId="3158" xr:uid="{00000000-0005-0000-0000-00006C510000}"/>
    <cellStyle name="Neutral 2 14 2" xfId="20396" xr:uid="{00000000-0005-0000-0000-00006D510000}"/>
    <cellStyle name="Neutral 2 14 3" xfId="20395" xr:uid="{00000000-0005-0000-0000-00006E510000}"/>
    <cellStyle name="Neutral 2 15" xfId="3529" xr:uid="{00000000-0005-0000-0000-00006F510000}"/>
    <cellStyle name="Neutral 2 15 2" xfId="20398" xr:uid="{00000000-0005-0000-0000-000070510000}"/>
    <cellStyle name="Neutral 2 15 3" xfId="20397" xr:uid="{00000000-0005-0000-0000-000071510000}"/>
    <cellStyle name="Neutral 2 16" xfId="3667" xr:uid="{00000000-0005-0000-0000-000072510000}"/>
    <cellStyle name="Neutral 2 16 2" xfId="20400" xr:uid="{00000000-0005-0000-0000-000073510000}"/>
    <cellStyle name="Neutral 2 16 3" xfId="20399" xr:uid="{00000000-0005-0000-0000-000074510000}"/>
    <cellStyle name="Neutral 2 17" xfId="20401" xr:uid="{00000000-0005-0000-0000-000075510000}"/>
    <cellStyle name="Neutral 2 17 2" xfId="20402" xr:uid="{00000000-0005-0000-0000-000076510000}"/>
    <cellStyle name="Neutral 2 18" xfId="20403" xr:uid="{00000000-0005-0000-0000-000077510000}"/>
    <cellStyle name="Neutral 2 19" xfId="20386" xr:uid="{00000000-0005-0000-0000-000078510000}"/>
    <cellStyle name="Neutral 2 2" xfId="149" xr:uid="{00000000-0005-0000-0000-000079510000}"/>
    <cellStyle name="Neutral 2 2 2" xfId="160" xr:uid="{00000000-0005-0000-0000-00007A510000}"/>
    <cellStyle name="Neutral 2 2 2 2" xfId="20406" xr:uid="{00000000-0005-0000-0000-00007B510000}"/>
    <cellStyle name="Neutral 2 2 2 3" xfId="20405" xr:uid="{00000000-0005-0000-0000-00007C510000}"/>
    <cellStyle name="Neutral 2 2 3" xfId="324" xr:uid="{00000000-0005-0000-0000-00007D510000}"/>
    <cellStyle name="Neutral 2 2 3 2" xfId="20408" xr:uid="{00000000-0005-0000-0000-00007E510000}"/>
    <cellStyle name="Neutral 2 2 3 3" xfId="20407" xr:uid="{00000000-0005-0000-0000-00007F510000}"/>
    <cellStyle name="Neutral 2 2 4" xfId="2147" xr:uid="{00000000-0005-0000-0000-000080510000}"/>
    <cellStyle name="Neutral 2 2 4 2" xfId="20410" xr:uid="{00000000-0005-0000-0000-000081510000}"/>
    <cellStyle name="Neutral 2 2 4 3" xfId="20409" xr:uid="{00000000-0005-0000-0000-000082510000}"/>
    <cellStyle name="Neutral 2 2 5" xfId="2521" xr:uid="{00000000-0005-0000-0000-000083510000}"/>
    <cellStyle name="Neutral 2 2 5 2" xfId="20412" xr:uid="{00000000-0005-0000-0000-000084510000}"/>
    <cellStyle name="Neutral 2 2 5 3" xfId="20411" xr:uid="{00000000-0005-0000-0000-000085510000}"/>
    <cellStyle name="Neutral 2 2 6" xfId="2893" xr:uid="{00000000-0005-0000-0000-000086510000}"/>
    <cellStyle name="Neutral 2 2 6 2" xfId="20414" xr:uid="{00000000-0005-0000-0000-000087510000}"/>
    <cellStyle name="Neutral 2 2 6 3" xfId="20413" xr:uid="{00000000-0005-0000-0000-000088510000}"/>
    <cellStyle name="Neutral 2 2 7" xfId="3264" xr:uid="{00000000-0005-0000-0000-000089510000}"/>
    <cellStyle name="Neutral 2 2 7 2" xfId="20416" xr:uid="{00000000-0005-0000-0000-00008A510000}"/>
    <cellStyle name="Neutral 2 2 7 3" xfId="20415" xr:uid="{00000000-0005-0000-0000-00008B510000}"/>
    <cellStyle name="Neutral 2 2 8" xfId="20417" xr:uid="{00000000-0005-0000-0000-00008C510000}"/>
    <cellStyle name="Neutral 2 2 9" xfId="20404" xr:uid="{00000000-0005-0000-0000-00008D510000}"/>
    <cellStyle name="Neutral 2 20" xfId="24501" xr:uid="{00000000-0005-0000-0000-00008E510000}"/>
    <cellStyle name="Neutral 2 3" xfId="313" xr:uid="{00000000-0005-0000-0000-00008F510000}"/>
    <cellStyle name="Neutral 2 3 2" xfId="1323" xr:uid="{00000000-0005-0000-0000-000090510000}"/>
    <cellStyle name="Neutral 2 3 2 2" xfId="20419" xr:uid="{00000000-0005-0000-0000-000091510000}"/>
    <cellStyle name="Neutral 2 3 3" xfId="20418" xr:uid="{00000000-0005-0000-0000-000092510000}"/>
    <cellStyle name="Neutral 2 4" xfId="498" xr:uid="{00000000-0005-0000-0000-000093510000}"/>
    <cellStyle name="Neutral 2 4 2" xfId="20421" xr:uid="{00000000-0005-0000-0000-000094510000}"/>
    <cellStyle name="Neutral 2 4 3" xfId="20420" xr:uid="{00000000-0005-0000-0000-000095510000}"/>
    <cellStyle name="Neutral 2 5" xfId="624" xr:uid="{00000000-0005-0000-0000-000096510000}"/>
    <cellStyle name="Neutral 2 5 2" xfId="20423" xr:uid="{00000000-0005-0000-0000-000097510000}"/>
    <cellStyle name="Neutral 2 5 3" xfId="20422" xr:uid="{00000000-0005-0000-0000-000098510000}"/>
    <cellStyle name="Neutral 2 6" xfId="782" xr:uid="{00000000-0005-0000-0000-000099510000}"/>
    <cellStyle name="Neutral 2 6 2" xfId="20425" xr:uid="{00000000-0005-0000-0000-00009A510000}"/>
    <cellStyle name="Neutral 2 6 3" xfId="20424" xr:uid="{00000000-0005-0000-0000-00009B510000}"/>
    <cellStyle name="Neutral 2 7" xfId="783" xr:uid="{00000000-0005-0000-0000-00009C510000}"/>
    <cellStyle name="Neutral 2 7 2" xfId="20427" xr:uid="{00000000-0005-0000-0000-00009D510000}"/>
    <cellStyle name="Neutral 2 7 3" xfId="20426" xr:uid="{00000000-0005-0000-0000-00009E510000}"/>
    <cellStyle name="Neutral 2 8" xfId="905" xr:uid="{00000000-0005-0000-0000-00009F510000}"/>
    <cellStyle name="Neutral 2 8 2" xfId="1431" xr:uid="{00000000-0005-0000-0000-0000A0510000}"/>
    <cellStyle name="Neutral 2 8 2 2" xfId="20429" xr:uid="{00000000-0005-0000-0000-0000A1510000}"/>
    <cellStyle name="Neutral 2 8 3" xfId="20428" xr:uid="{00000000-0005-0000-0000-0000A2510000}"/>
    <cellStyle name="Neutral 2 9" xfId="992" xr:uid="{00000000-0005-0000-0000-0000A3510000}"/>
    <cellStyle name="Neutral 2 9 2" xfId="1546" xr:uid="{00000000-0005-0000-0000-0000A4510000}"/>
    <cellStyle name="Neutral 2 9 2 2" xfId="20431" xr:uid="{00000000-0005-0000-0000-0000A5510000}"/>
    <cellStyle name="Neutral 2 9 3" xfId="20430" xr:uid="{00000000-0005-0000-0000-0000A6510000}"/>
    <cellStyle name="Neutral 3" xfId="201" xr:uid="{00000000-0005-0000-0000-0000A7510000}"/>
    <cellStyle name="Neutral 3 10" xfId="3710" xr:uid="{00000000-0005-0000-0000-0000A8510000}"/>
    <cellStyle name="Neutral 3 10 2" xfId="20434" xr:uid="{00000000-0005-0000-0000-0000A9510000}"/>
    <cellStyle name="Neutral 3 10 3" xfId="20433" xr:uid="{00000000-0005-0000-0000-0000AA510000}"/>
    <cellStyle name="Neutral 3 11" xfId="20435" xr:uid="{00000000-0005-0000-0000-0000AB510000}"/>
    <cellStyle name="Neutral 3 11 2" xfId="20436" xr:uid="{00000000-0005-0000-0000-0000AC510000}"/>
    <cellStyle name="Neutral 3 12" xfId="20437" xr:uid="{00000000-0005-0000-0000-0000AD510000}"/>
    <cellStyle name="Neutral 3 13" xfId="20432" xr:uid="{00000000-0005-0000-0000-0000AE510000}"/>
    <cellStyle name="Neutral 3 2" xfId="1483" xr:uid="{00000000-0005-0000-0000-0000AF510000}"/>
    <cellStyle name="Neutral 3 2 2" xfId="1812" xr:uid="{00000000-0005-0000-0000-0000B0510000}"/>
    <cellStyle name="Neutral 3 2 2 2" xfId="20440" xr:uid="{00000000-0005-0000-0000-0000B1510000}"/>
    <cellStyle name="Neutral 3 2 2 3" xfId="20439" xr:uid="{00000000-0005-0000-0000-0000B2510000}"/>
    <cellStyle name="Neutral 3 2 3" xfId="2187" xr:uid="{00000000-0005-0000-0000-0000B3510000}"/>
    <cellStyle name="Neutral 3 2 3 2" xfId="20442" xr:uid="{00000000-0005-0000-0000-0000B4510000}"/>
    <cellStyle name="Neutral 3 2 3 3" xfId="20441" xr:uid="{00000000-0005-0000-0000-0000B5510000}"/>
    <cellStyle name="Neutral 3 2 4" xfId="2561" xr:uid="{00000000-0005-0000-0000-0000B6510000}"/>
    <cellStyle name="Neutral 3 2 4 2" xfId="20444" xr:uid="{00000000-0005-0000-0000-0000B7510000}"/>
    <cellStyle name="Neutral 3 2 4 3" xfId="20443" xr:uid="{00000000-0005-0000-0000-0000B8510000}"/>
    <cellStyle name="Neutral 3 2 5" xfId="2933" xr:uid="{00000000-0005-0000-0000-0000B9510000}"/>
    <cellStyle name="Neutral 3 2 5 2" xfId="20446" xr:uid="{00000000-0005-0000-0000-0000BA510000}"/>
    <cellStyle name="Neutral 3 2 5 3" xfId="20445" xr:uid="{00000000-0005-0000-0000-0000BB510000}"/>
    <cellStyle name="Neutral 3 2 6" xfId="3305" xr:uid="{00000000-0005-0000-0000-0000BC510000}"/>
    <cellStyle name="Neutral 3 2 6 2" xfId="20448" xr:uid="{00000000-0005-0000-0000-0000BD510000}"/>
    <cellStyle name="Neutral 3 2 6 3" xfId="20447" xr:uid="{00000000-0005-0000-0000-0000BE510000}"/>
    <cellStyle name="Neutral 3 2 7" xfId="20449" xr:uid="{00000000-0005-0000-0000-0000BF510000}"/>
    <cellStyle name="Neutral 3 2 8" xfId="20438" xr:uid="{00000000-0005-0000-0000-0000C0510000}"/>
    <cellStyle name="Neutral 3 3" xfId="1610" xr:uid="{00000000-0005-0000-0000-0000C1510000}"/>
    <cellStyle name="Neutral 3 3 2" xfId="1889" xr:uid="{00000000-0005-0000-0000-0000C2510000}"/>
    <cellStyle name="Neutral 3 3 2 2" xfId="20452" xr:uid="{00000000-0005-0000-0000-0000C3510000}"/>
    <cellStyle name="Neutral 3 3 2 3" xfId="20451" xr:uid="{00000000-0005-0000-0000-0000C4510000}"/>
    <cellStyle name="Neutral 3 3 3" xfId="2264" xr:uid="{00000000-0005-0000-0000-0000C5510000}"/>
    <cellStyle name="Neutral 3 3 3 2" xfId="20454" xr:uid="{00000000-0005-0000-0000-0000C6510000}"/>
    <cellStyle name="Neutral 3 3 3 3" xfId="20453" xr:uid="{00000000-0005-0000-0000-0000C7510000}"/>
    <cellStyle name="Neutral 3 3 4" xfId="2637" xr:uid="{00000000-0005-0000-0000-0000C8510000}"/>
    <cellStyle name="Neutral 3 3 4 2" xfId="20456" xr:uid="{00000000-0005-0000-0000-0000C9510000}"/>
    <cellStyle name="Neutral 3 3 4 3" xfId="20455" xr:uid="{00000000-0005-0000-0000-0000CA510000}"/>
    <cellStyle name="Neutral 3 3 5" xfId="3010" xr:uid="{00000000-0005-0000-0000-0000CB510000}"/>
    <cellStyle name="Neutral 3 3 5 2" xfId="20458" xr:uid="{00000000-0005-0000-0000-0000CC510000}"/>
    <cellStyle name="Neutral 3 3 5 3" xfId="20457" xr:uid="{00000000-0005-0000-0000-0000CD510000}"/>
    <cellStyle name="Neutral 3 3 6" xfId="3381" xr:uid="{00000000-0005-0000-0000-0000CE510000}"/>
    <cellStyle name="Neutral 3 3 6 2" xfId="20460" xr:uid="{00000000-0005-0000-0000-0000CF510000}"/>
    <cellStyle name="Neutral 3 3 6 3" xfId="20459" xr:uid="{00000000-0005-0000-0000-0000D0510000}"/>
    <cellStyle name="Neutral 3 3 7" xfId="20461" xr:uid="{00000000-0005-0000-0000-0000D1510000}"/>
    <cellStyle name="Neutral 3 3 8" xfId="20450" xr:uid="{00000000-0005-0000-0000-0000D2510000}"/>
    <cellStyle name="Neutral 3 4" xfId="1750" xr:uid="{00000000-0005-0000-0000-0000D3510000}"/>
    <cellStyle name="Neutral 3 4 2" xfId="1933" xr:uid="{00000000-0005-0000-0000-0000D4510000}"/>
    <cellStyle name="Neutral 3 4 2 2" xfId="20464" xr:uid="{00000000-0005-0000-0000-0000D5510000}"/>
    <cellStyle name="Neutral 3 4 2 3" xfId="20463" xr:uid="{00000000-0005-0000-0000-0000D6510000}"/>
    <cellStyle name="Neutral 3 4 3" xfId="2308" xr:uid="{00000000-0005-0000-0000-0000D7510000}"/>
    <cellStyle name="Neutral 3 4 3 2" xfId="20466" xr:uid="{00000000-0005-0000-0000-0000D8510000}"/>
    <cellStyle name="Neutral 3 4 3 3" xfId="20465" xr:uid="{00000000-0005-0000-0000-0000D9510000}"/>
    <cellStyle name="Neutral 3 4 4" xfId="2681" xr:uid="{00000000-0005-0000-0000-0000DA510000}"/>
    <cellStyle name="Neutral 3 4 4 2" xfId="20468" xr:uid="{00000000-0005-0000-0000-0000DB510000}"/>
    <cellStyle name="Neutral 3 4 4 3" xfId="20467" xr:uid="{00000000-0005-0000-0000-0000DC510000}"/>
    <cellStyle name="Neutral 3 4 5" xfId="3054" xr:uid="{00000000-0005-0000-0000-0000DD510000}"/>
    <cellStyle name="Neutral 3 4 5 2" xfId="20470" xr:uid="{00000000-0005-0000-0000-0000DE510000}"/>
    <cellStyle name="Neutral 3 4 5 3" xfId="20469" xr:uid="{00000000-0005-0000-0000-0000DF510000}"/>
    <cellStyle name="Neutral 3 4 6" xfId="3425" xr:uid="{00000000-0005-0000-0000-0000E0510000}"/>
    <cellStyle name="Neutral 3 4 6 2" xfId="20472" xr:uid="{00000000-0005-0000-0000-0000E1510000}"/>
    <cellStyle name="Neutral 3 4 6 3" xfId="20471" xr:uid="{00000000-0005-0000-0000-0000E2510000}"/>
    <cellStyle name="Neutral 3 4 7" xfId="20473" xr:uid="{00000000-0005-0000-0000-0000E3510000}"/>
    <cellStyle name="Neutral 3 4 8" xfId="20462" xr:uid="{00000000-0005-0000-0000-0000E4510000}"/>
    <cellStyle name="Neutral 3 5" xfId="2085" xr:uid="{00000000-0005-0000-0000-0000E5510000}"/>
    <cellStyle name="Neutral 3 5 2" xfId="20475" xr:uid="{00000000-0005-0000-0000-0000E6510000}"/>
    <cellStyle name="Neutral 3 5 3" xfId="20474" xr:uid="{00000000-0005-0000-0000-0000E7510000}"/>
    <cellStyle name="Neutral 3 6" xfId="2459" xr:uid="{00000000-0005-0000-0000-0000E8510000}"/>
    <cellStyle name="Neutral 3 6 2" xfId="20477" xr:uid="{00000000-0005-0000-0000-0000E9510000}"/>
    <cellStyle name="Neutral 3 6 3" xfId="20476" xr:uid="{00000000-0005-0000-0000-0000EA510000}"/>
    <cellStyle name="Neutral 3 7" xfId="2831" xr:uid="{00000000-0005-0000-0000-0000EB510000}"/>
    <cellStyle name="Neutral 3 7 2" xfId="20479" xr:uid="{00000000-0005-0000-0000-0000EC510000}"/>
    <cellStyle name="Neutral 3 7 3" xfId="20478" xr:uid="{00000000-0005-0000-0000-0000ED510000}"/>
    <cellStyle name="Neutral 3 8" xfId="3202" xr:uid="{00000000-0005-0000-0000-0000EE510000}"/>
    <cellStyle name="Neutral 3 8 2" xfId="20481" xr:uid="{00000000-0005-0000-0000-0000EF510000}"/>
    <cellStyle name="Neutral 3 8 3" xfId="20480" xr:uid="{00000000-0005-0000-0000-0000F0510000}"/>
    <cellStyle name="Neutral 3 9" xfId="3574" xr:uid="{00000000-0005-0000-0000-0000F1510000}"/>
    <cellStyle name="Neutral 3 9 2" xfId="20483" xr:uid="{00000000-0005-0000-0000-0000F2510000}"/>
    <cellStyle name="Neutral 3 9 3" xfId="20482" xr:uid="{00000000-0005-0000-0000-0000F3510000}"/>
    <cellStyle name="Neutral 4" xfId="270" xr:uid="{00000000-0005-0000-0000-0000F4510000}"/>
    <cellStyle name="Neutral 4 10" xfId="3754" xr:uid="{00000000-0005-0000-0000-0000F5510000}"/>
    <cellStyle name="Neutral 4 10 2" xfId="20486" xr:uid="{00000000-0005-0000-0000-0000F6510000}"/>
    <cellStyle name="Neutral 4 10 3" xfId="20485" xr:uid="{00000000-0005-0000-0000-0000F7510000}"/>
    <cellStyle name="Neutral 4 11" xfId="1283" xr:uid="{00000000-0005-0000-0000-0000F8510000}"/>
    <cellStyle name="Neutral 4 11 2" xfId="20488" xr:uid="{00000000-0005-0000-0000-0000F9510000}"/>
    <cellStyle name="Neutral 4 11 3" xfId="20487" xr:uid="{00000000-0005-0000-0000-0000FA510000}"/>
    <cellStyle name="Neutral 4 12" xfId="20489" xr:uid="{00000000-0005-0000-0000-0000FB510000}"/>
    <cellStyle name="Neutral 4 13" xfId="20484" xr:uid="{00000000-0005-0000-0000-0000FC510000}"/>
    <cellStyle name="Neutral 4 2" xfId="1528" xr:uid="{00000000-0005-0000-0000-0000FD510000}"/>
    <cellStyle name="Neutral 4 2 2" xfId="20491" xr:uid="{00000000-0005-0000-0000-0000FE510000}"/>
    <cellStyle name="Neutral 4 2 3" xfId="20490" xr:uid="{00000000-0005-0000-0000-0000FF510000}"/>
    <cellStyle name="Neutral 4 3" xfId="1653" xr:uid="{00000000-0005-0000-0000-000000520000}"/>
    <cellStyle name="Neutral 4 3 2" xfId="20493" xr:uid="{00000000-0005-0000-0000-000001520000}"/>
    <cellStyle name="Neutral 4 3 3" xfId="20492" xr:uid="{00000000-0005-0000-0000-000002520000}"/>
    <cellStyle name="Neutral 4 4" xfId="1772" xr:uid="{00000000-0005-0000-0000-000003520000}"/>
    <cellStyle name="Neutral 4 4 2" xfId="20495" xr:uid="{00000000-0005-0000-0000-000004520000}"/>
    <cellStyle name="Neutral 4 4 3" xfId="20494" xr:uid="{00000000-0005-0000-0000-000005520000}"/>
    <cellStyle name="Neutral 4 5" xfId="2107" xr:uid="{00000000-0005-0000-0000-000006520000}"/>
    <cellStyle name="Neutral 4 5 2" xfId="20497" xr:uid="{00000000-0005-0000-0000-000007520000}"/>
    <cellStyle name="Neutral 4 5 3" xfId="20496" xr:uid="{00000000-0005-0000-0000-000008520000}"/>
    <cellStyle name="Neutral 4 6" xfId="2481" xr:uid="{00000000-0005-0000-0000-000009520000}"/>
    <cellStyle name="Neutral 4 6 2" xfId="20499" xr:uid="{00000000-0005-0000-0000-00000A520000}"/>
    <cellStyle name="Neutral 4 6 3" xfId="20498" xr:uid="{00000000-0005-0000-0000-00000B520000}"/>
    <cellStyle name="Neutral 4 7" xfId="2853" xr:uid="{00000000-0005-0000-0000-00000C520000}"/>
    <cellStyle name="Neutral 4 7 2" xfId="20501" xr:uid="{00000000-0005-0000-0000-00000D520000}"/>
    <cellStyle name="Neutral 4 7 3" xfId="20500" xr:uid="{00000000-0005-0000-0000-00000E520000}"/>
    <cellStyle name="Neutral 4 8" xfId="3224" xr:uid="{00000000-0005-0000-0000-00000F520000}"/>
    <cellStyle name="Neutral 4 8 2" xfId="20503" xr:uid="{00000000-0005-0000-0000-000010520000}"/>
    <cellStyle name="Neutral 4 8 3" xfId="20502" xr:uid="{00000000-0005-0000-0000-000011520000}"/>
    <cellStyle name="Neutral 4 9" xfId="3617" xr:uid="{00000000-0005-0000-0000-000012520000}"/>
    <cellStyle name="Neutral 4 9 2" xfId="20505" xr:uid="{00000000-0005-0000-0000-000013520000}"/>
    <cellStyle name="Neutral 4 9 3" xfId="20504" xr:uid="{00000000-0005-0000-0000-000014520000}"/>
    <cellStyle name="Neutral 5" xfId="499" xr:uid="{00000000-0005-0000-0000-000015520000}"/>
    <cellStyle name="Neutral 5 2" xfId="1761" xr:uid="{00000000-0005-0000-0000-000016520000}"/>
    <cellStyle name="Neutral 5 2 2" xfId="20508" xr:uid="{00000000-0005-0000-0000-000017520000}"/>
    <cellStyle name="Neutral 5 2 3" xfId="20507" xr:uid="{00000000-0005-0000-0000-000018520000}"/>
    <cellStyle name="Neutral 5 3" xfId="2096" xr:uid="{00000000-0005-0000-0000-000019520000}"/>
    <cellStyle name="Neutral 5 3 2" xfId="20510" xr:uid="{00000000-0005-0000-0000-00001A520000}"/>
    <cellStyle name="Neutral 5 3 3" xfId="20509" xr:uid="{00000000-0005-0000-0000-00001B520000}"/>
    <cellStyle name="Neutral 5 4" xfId="2470" xr:uid="{00000000-0005-0000-0000-00001C520000}"/>
    <cellStyle name="Neutral 5 4 2" xfId="20512" xr:uid="{00000000-0005-0000-0000-00001D520000}"/>
    <cellStyle name="Neutral 5 4 3" xfId="20511" xr:uid="{00000000-0005-0000-0000-00001E520000}"/>
    <cellStyle name="Neutral 5 5" xfId="2842" xr:uid="{00000000-0005-0000-0000-00001F520000}"/>
    <cellStyle name="Neutral 5 5 2" xfId="20514" xr:uid="{00000000-0005-0000-0000-000020520000}"/>
    <cellStyle name="Neutral 5 5 3" xfId="20513" xr:uid="{00000000-0005-0000-0000-000021520000}"/>
    <cellStyle name="Neutral 5 6" xfId="3213" xr:uid="{00000000-0005-0000-0000-000022520000}"/>
    <cellStyle name="Neutral 5 6 2" xfId="20516" xr:uid="{00000000-0005-0000-0000-000023520000}"/>
    <cellStyle name="Neutral 5 6 3" xfId="20515" xr:uid="{00000000-0005-0000-0000-000024520000}"/>
    <cellStyle name="Neutral 5 7" xfId="20517" xr:uid="{00000000-0005-0000-0000-000025520000}"/>
    <cellStyle name="Neutral 5 7 2" xfId="20518" xr:uid="{00000000-0005-0000-0000-000026520000}"/>
    <cellStyle name="Neutral 5 8" xfId="20519" xr:uid="{00000000-0005-0000-0000-000027520000}"/>
    <cellStyle name="Neutral 5 9" xfId="20506" xr:uid="{00000000-0005-0000-0000-000028520000}"/>
    <cellStyle name="Neutral 6" xfId="500" xr:uid="{00000000-0005-0000-0000-000029520000}"/>
    <cellStyle name="Neutral 6 10" xfId="20520" xr:uid="{00000000-0005-0000-0000-00002A520000}"/>
    <cellStyle name="Neutral 6 2" xfId="2004" xr:uid="{00000000-0005-0000-0000-00002B520000}"/>
    <cellStyle name="Neutral 6 2 2" xfId="20522" xr:uid="{00000000-0005-0000-0000-00002C520000}"/>
    <cellStyle name="Neutral 6 2 3" xfId="20521" xr:uid="{00000000-0005-0000-0000-00002D520000}"/>
    <cellStyle name="Neutral 6 3" xfId="2379" xr:uid="{00000000-0005-0000-0000-00002E520000}"/>
    <cellStyle name="Neutral 6 3 2" xfId="20524" xr:uid="{00000000-0005-0000-0000-00002F520000}"/>
    <cellStyle name="Neutral 6 3 3" xfId="20523" xr:uid="{00000000-0005-0000-0000-000030520000}"/>
    <cellStyle name="Neutral 6 4" xfId="2752" xr:uid="{00000000-0005-0000-0000-000031520000}"/>
    <cellStyle name="Neutral 6 4 2" xfId="20526" xr:uid="{00000000-0005-0000-0000-000032520000}"/>
    <cellStyle name="Neutral 6 4 3" xfId="20525" xr:uid="{00000000-0005-0000-0000-000033520000}"/>
    <cellStyle name="Neutral 6 5" xfId="3125" xr:uid="{00000000-0005-0000-0000-000034520000}"/>
    <cellStyle name="Neutral 6 5 2" xfId="20528" xr:uid="{00000000-0005-0000-0000-000035520000}"/>
    <cellStyle name="Neutral 6 5 3" xfId="20527" xr:uid="{00000000-0005-0000-0000-000036520000}"/>
    <cellStyle name="Neutral 6 6" xfId="3496" xr:uid="{00000000-0005-0000-0000-000037520000}"/>
    <cellStyle name="Neutral 6 6 2" xfId="20530" xr:uid="{00000000-0005-0000-0000-000038520000}"/>
    <cellStyle name="Neutral 6 6 3" xfId="20529" xr:uid="{00000000-0005-0000-0000-000039520000}"/>
    <cellStyle name="Neutral 6 7" xfId="3802" xr:uid="{00000000-0005-0000-0000-00003A520000}"/>
    <cellStyle name="Neutral 6 7 2" xfId="20532" xr:uid="{00000000-0005-0000-0000-00003B520000}"/>
    <cellStyle name="Neutral 6 7 3" xfId="20531" xr:uid="{00000000-0005-0000-0000-00003C520000}"/>
    <cellStyle name="Neutral 6 8" xfId="20533" xr:uid="{00000000-0005-0000-0000-00003D520000}"/>
    <cellStyle name="Neutral 6 8 2" xfId="20534" xr:uid="{00000000-0005-0000-0000-00003E520000}"/>
    <cellStyle name="Neutral 6 9" xfId="20535" xr:uid="{00000000-0005-0000-0000-00003F520000}"/>
    <cellStyle name="Neutral 7" xfId="501" xr:uid="{00000000-0005-0000-0000-000040520000}"/>
    <cellStyle name="Neutral 7 2" xfId="20537" xr:uid="{00000000-0005-0000-0000-000041520000}"/>
    <cellStyle name="Neutral 7 3" xfId="20536" xr:uid="{00000000-0005-0000-0000-000042520000}"/>
    <cellStyle name="Neutral 8" xfId="625" xr:uid="{00000000-0005-0000-0000-000043520000}"/>
    <cellStyle name="Neutral 8 2" xfId="20539" xr:uid="{00000000-0005-0000-0000-000044520000}"/>
    <cellStyle name="Neutral 8 3" xfId="20538" xr:uid="{00000000-0005-0000-0000-000045520000}"/>
    <cellStyle name="Neutral 9" xfId="626" xr:uid="{00000000-0005-0000-0000-000046520000}"/>
    <cellStyle name="Neutral 9 2" xfId="20541" xr:uid="{00000000-0005-0000-0000-000047520000}"/>
    <cellStyle name="Neutral 9 3" xfId="20540" xr:uid="{00000000-0005-0000-0000-000048520000}"/>
    <cellStyle name="Normal" xfId="0" builtinId="0"/>
    <cellStyle name="Normal 10" xfId="56" xr:uid="{00000000-0005-0000-0000-00004A520000}"/>
    <cellStyle name="Normal 10 10" xfId="1127" xr:uid="{00000000-0005-0000-0000-00004B520000}"/>
    <cellStyle name="Normal 10 10 2" xfId="3997" xr:uid="{00000000-0005-0000-0000-00004C520000}"/>
    <cellStyle name="Normal 10 11" xfId="1137" xr:uid="{00000000-0005-0000-0000-00004D520000}"/>
    <cellStyle name="Normal 10 11 2" xfId="4007" xr:uid="{00000000-0005-0000-0000-00004E520000}"/>
    <cellStyle name="Normal 10 12" xfId="1147" xr:uid="{00000000-0005-0000-0000-00004F520000}"/>
    <cellStyle name="Normal 10 12 2" xfId="4017" xr:uid="{00000000-0005-0000-0000-000050520000}"/>
    <cellStyle name="Normal 10 13" xfId="1156" xr:uid="{00000000-0005-0000-0000-000051520000}"/>
    <cellStyle name="Normal 10 13 2" xfId="4026" xr:uid="{00000000-0005-0000-0000-000052520000}"/>
    <cellStyle name="Normal 10 14" xfId="1167" xr:uid="{00000000-0005-0000-0000-000053520000}"/>
    <cellStyle name="Normal 10 14 2" xfId="4037" xr:uid="{00000000-0005-0000-0000-000054520000}"/>
    <cellStyle name="Normal 10 15" xfId="1177" xr:uid="{00000000-0005-0000-0000-000055520000}"/>
    <cellStyle name="Normal 10 15 2" xfId="4047" xr:uid="{00000000-0005-0000-0000-000056520000}"/>
    <cellStyle name="Normal 10 16" xfId="1187" xr:uid="{00000000-0005-0000-0000-000057520000}"/>
    <cellStyle name="Normal 10 16 2" xfId="4057" xr:uid="{00000000-0005-0000-0000-000058520000}"/>
    <cellStyle name="Normal 10 17" xfId="1197" xr:uid="{00000000-0005-0000-0000-000059520000}"/>
    <cellStyle name="Normal 10 17 2" xfId="4067" xr:uid="{00000000-0005-0000-0000-00005A520000}"/>
    <cellStyle name="Normal 10 18" xfId="1207" xr:uid="{00000000-0005-0000-0000-00005B520000}"/>
    <cellStyle name="Normal 10 18 2" xfId="4077" xr:uid="{00000000-0005-0000-0000-00005C520000}"/>
    <cellStyle name="Normal 10 19" xfId="1217" xr:uid="{00000000-0005-0000-0000-00005D520000}"/>
    <cellStyle name="Normal 10 19 2" xfId="4087" xr:uid="{00000000-0005-0000-0000-00005E520000}"/>
    <cellStyle name="Normal 10 2" xfId="1044" xr:uid="{00000000-0005-0000-0000-00005F520000}"/>
    <cellStyle name="Normal 10 2 2" xfId="3912" xr:uid="{00000000-0005-0000-0000-000060520000}"/>
    <cellStyle name="Normal 10 2 2 2" xfId="20544" xr:uid="{00000000-0005-0000-0000-000061520000}"/>
    <cellStyle name="Normal 10 2 2 2 2" xfId="20545" xr:uid="{00000000-0005-0000-0000-000062520000}"/>
    <cellStyle name="Normal 10 2 2 3" xfId="20546" xr:uid="{00000000-0005-0000-0000-000063520000}"/>
    <cellStyle name="Normal 10 2 2 4" xfId="20543" xr:uid="{00000000-0005-0000-0000-000064520000}"/>
    <cellStyle name="Normal 10 2 3" xfId="4868" xr:uid="{00000000-0005-0000-0000-000065520000}"/>
    <cellStyle name="Normal 10 2 4" xfId="24787" xr:uid="{00000000-0005-0000-0000-000066520000}"/>
    <cellStyle name="Normal 10 20" xfId="1227" xr:uid="{00000000-0005-0000-0000-000067520000}"/>
    <cellStyle name="Normal 10 20 2" xfId="4097" xr:uid="{00000000-0005-0000-0000-000068520000}"/>
    <cellStyle name="Normal 10 21" xfId="1237" xr:uid="{00000000-0005-0000-0000-000069520000}"/>
    <cellStyle name="Normal 10 21 2" xfId="4107" xr:uid="{00000000-0005-0000-0000-00006A520000}"/>
    <cellStyle name="Normal 10 22" xfId="1247" xr:uid="{00000000-0005-0000-0000-00006B520000}"/>
    <cellStyle name="Normal 10 22 2" xfId="4117" xr:uid="{00000000-0005-0000-0000-00006C520000}"/>
    <cellStyle name="Normal 10 23" xfId="1257" xr:uid="{00000000-0005-0000-0000-00006D520000}"/>
    <cellStyle name="Normal 10 23 2" xfId="4127" xr:uid="{00000000-0005-0000-0000-00006E520000}"/>
    <cellStyle name="Normal 10 24" xfId="1266" xr:uid="{00000000-0005-0000-0000-00006F520000}"/>
    <cellStyle name="Normal 10 24 2" xfId="4136" xr:uid="{00000000-0005-0000-0000-000070520000}"/>
    <cellStyle name="Normal 10 25" xfId="1271" xr:uid="{00000000-0005-0000-0000-000071520000}"/>
    <cellStyle name="Normal 10 25 2" xfId="4141" xr:uid="{00000000-0005-0000-0000-000072520000}"/>
    <cellStyle name="Normal 10 26" xfId="993" xr:uid="{00000000-0005-0000-0000-000073520000}"/>
    <cellStyle name="Normal 10 27" xfId="24537" xr:uid="{00000000-0005-0000-0000-000074520000}"/>
    <cellStyle name="Normal 10 3" xfId="1057" xr:uid="{00000000-0005-0000-0000-000075520000}"/>
    <cellStyle name="Normal 10 3 2" xfId="3927" xr:uid="{00000000-0005-0000-0000-000076520000}"/>
    <cellStyle name="Normal 10 3 2 2" xfId="20548" xr:uid="{00000000-0005-0000-0000-000077520000}"/>
    <cellStyle name="Normal 10 3 2 2 2" xfId="20549" xr:uid="{00000000-0005-0000-0000-000078520000}"/>
    <cellStyle name="Normal 10 3 2 3" xfId="20550" xr:uid="{00000000-0005-0000-0000-000079520000}"/>
    <cellStyle name="Normal 10 3 2 4" xfId="20547" xr:uid="{00000000-0005-0000-0000-00007A520000}"/>
    <cellStyle name="Normal 10 3 3" xfId="4869" xr:uid="{00000000-0005-0000-0000-00007B520000}"/>
    <cellStyle name="Normal 10 3 3 2" xfId="20551" xr:uid="{00000000-0005-0000-0000-00007C520000}"/>
    <cellStyle name="Normal 10 3 3 2 2" xfId="20552" xr:uid="{00000000-0005-0000-0000-00007D520000}"/>
    <cellStyle name="Normal 10 3 3 3" xfId="20553" xr:uid="{00000000-0005-0000-0000-00007E520000}"/>
    <cellStyle name="Normal 10 3 4" xfId="20554" xr:uid="{00000000-0005-0000-0000-00007F520000}"/>
    <cellStyle name="Normal 10 3 4 2" xfId="20555" xr:uid="{00000000-0005-0000-0000-000080520000}"/>
    <cellStyle name="Normal 10 3 5" xfId="20556" xr:uid="{00000000-0005-0000-0000-000081520000}"/>
    <cellStyle name="Normal 10 3 5 2" xfId="20557" xr:uid="{00000000-0005-0000-0000-000082520000}"/>
    <cellStyle name="Normal 10 3 6" xfId="20558" xr:uid="{00000000-0005-0000-0000-000083520000}"/>
    <cellStyle name="Normal 10 3 6 2" xfId="20559" xr:uid="{00000000-0005-0000-0000-000084520000}"/>
    <cellStyle name="Normal 10 4" xfId="1067" xr:uid="{00000000-0005-0000-0000-000085520000}"/>
    <cellStyle name="Normal 10 4 2" xfId="3937" xr:uid="{00000000-0005-0000-0000-000086520000}"/>
    <cellStyle name="Normal 10 4 2 2" xfId="20561" xr:uid="{00000000-0005-0000-0000-000087520000}"/>
    <cellStyle name="Normal 10 4 3" xfId="20560" xr:uid="{00000000-0005-0000-0000-000088520000}"/>
    <cellStyle name="Normal 10 4 4" xfId="24788" xr:uid="{00000000-0005-0000-0000-000089520000}"/>
    <cellStyle name="Normal 10 4 4 2" xfId="26911" xr:uid="{00000000-0005-0000-0000-00008A520000}"/>
    <cellStyle name="Normal 10 5" xfId="1077" xr:uid="{00000000-0005-0000-0000-00008B520000}"/>
    <cellStyle name="Normal 10 5 2" xfId="3947" xr:uid="{00000000-0005-0000-0000-00008C520000}"/>
    <cellStyle name="Normal 10 6" xfId="1087" xr:uid="{00000000-0005-0000-0000-00008D520000}"/>
    <cellStyle name="Normal 10 6 2" xfId="3957" xr:uid="{00000000-0005-0000-0000-00008E520000}"/>
    <cellStyle name="Normal 10 7" xfId="1097" xr:uid="{00000000-0005-0000-0000-00008F520000}"/>
    <cellStyle name="Normal 10 7 2" xfId="3967" xr:uid="{00000000-0005-0000-0000-000090520000}"/>
    <cellStyle name="Normal 10 8" xfId="1107" xr:uid="{00000000-0005-0000-0000-000091520000}"/>
    <cellStyle name="Normal 10 8 2" xfId="3977" xr:uid="{00000000-0005-0000-0000-000092520000}"/>
    <cellStyle name="Normal 10 9" xfId="1117" xr:uid="{00000000-0005-0000-0000-000093520000}"/>
    <cellStyle name="Normal 10 9 2" xfId="3987" xr:uid="{00000000-0005-0000-0000-000094520000}"/>
    <cellStyle name="Normal 11" xfId="57" xr:uid="{00000000-0005-0000-0000-000095520000}"/>
    <cellStyle name="Normal 11 2" xfId="3811" xr:uid="{00000000-0005-0000-0000-000096520000}"/>
    <cellStyle name="Normal 11 2 2" xfId="20562" xr:uid="{00000000-0005-0000-0000-000097520000}"/>
    <cellStyle name="Normal 11 2 2 2" xfId="20563" xr:uid="{00000000-0005-0000-0000-000098520000}"/>
    <cellStyle name="Normal 11 2 2 2 2" xfId="20564" xr:uid="{00000000-0005-0000-0000-000099520000}"/>
    <cellStyle name="Normal 11 2 2 3" xfId="20565" xr:uid="{00000000-0005-0000-0000-00009A520000}"/>
    <cellStyle name="Normal 11 2 3" xfId="20566" xr:uid="{00000000-0005-0000-0000-00009B520000}"/>
    <cellStyle name="Normal 11 2 3 2" xfId="20567" xr:uid="{00000000-0005-0000-0000-00009C520000}"/>
    <cellStyle name="Normal 11 2 3 2 2" xfId="20568" xr:uid="{00000000-0005-0000-0000-00009D520000}"/>
    <cellStyle name="Normal 11 2 3 3" xfId="20569" xr:uid="{00000000-0005-0000-0000-00009E520000}"/>
    <cellStyle name="Normal 11 2 4" xfId="20570" xr:uid="{00000000-0005-0000-0000-00009F520000}"/>
    <cellStyle name="Normal 11 2 4 2" xfId="20571" xr:uid="{00000000-0005-0000-0000-0000A0520000}"/>
    <cellStyle name="Normal 11 2 5" xfId="20572" xr:uid="{00000000-0005-0000-0000-0000A1520000}"/>
    <cellStyle name="Normal 11 2 5 2" xfId="20573" xr:uid="{00000000-0005-0000-0000-0000A2520000}"/>
    <cellStyle name="Normal 11 2 6" xfId="20574" xr:uid="{00000000-0005-0000-0000-0000A3520000}"/>
    <cellStyle name="Normal 11 2 6 2" xfId="20575" xr:uid="{00000000-0005-0000-0000-0000A4520000}"/>
    <cellStyle name="Normal 11 2 7" xfId="24539" xr:uid="{00000000-0005-0000-0000-0000A5520000}"/>
    <cellStyle name="Normal 11 3" xfId="3860" xr:uid="{00000000-0005-0000-0000-0000A6520000}"/>
    <cellStyle name="Normal 11 3 2" xfId="20577" xr:uid="{00000000-0005-0000-0000-0000A7520000}"/>
    <cellStyle name="Normal 11 3 3" xfId="20576" xr:uid="{00000000-0005-0000-0000-0000A8520000}"/>
    <cellStyle name="Normal 11 3 4" xfId="24789" xr:uid="{00000000-0005-0000-0000-0000A9520000}"/>
    <cellStyle name="Normal 11 4" xfId="20578" xr:uid="{00000000-0005-0000-0000-0000AA520000}"/>
    <cellStyle name="Normal 11 4 2" xfId="20579" xr:uid="{00000000-0005-0000-0000-0000AB520000}"/>
    <cellStyle name="Normal 11 4 3" xfId="24790" xr:uid="{00000000-0005-0000-0000-0000AC520000}"/>
    <cellStyle name="Normal 11 4 3 2" xfId="26912" xr:uid="{00000000-0005-0000-0000-0000AD520000}"/>
    <cellStyle name="Normal 11 5" xfId="24538" xr:uid="{00000000-0005-0000-0000-0000AE520000}"/>
    <cellStyle name="Normal 12" xfId="1003" xr:uid="{00000000-0005-0000-0000-0000AF520000}"/>
    <cellStyle name="Normal 12 2" xfId="3861" xr:uid="{00000000-0005-0000-0000-0000B0520000}"/>
    <cellStyle name="Normal 12 2 2" xfId="20582" xr:uid="{00000000-0005-0000-0000-0000B1520000}"/>
    <cellStyle name="Normal 12 2 2 2" xfId="20583" xr:uid="{00000000-0005-0000-0000-0000B2520000}"/>
    <cellStyle name="Normal 12 2 3" xfId="20584" xr:uid="{00000000-0005-0000-0000-0000B3520000}"/>
    <cellStyle name="Normal 12 2 3 2" xfId="20585" xr:uid="{00000000-0005-0000-0000-0000B4520000}"/>
    <cellStyle name="Normal 12 2 4" xfId="20586" xr:uid="{00000000-0005-0000-0000-0000B5520000}"/>
    <cellStyle name="Normal 12 2 5" xfId="20581" xr:uid="{00000000-0005-0000-0000-0000B6520000}"/>
    <cellStyle name="Normal 12 3" xfId="20587" xr:uid="{00000000-0005-0000-0000-0000B7520000}"/>
    <cellStyle name="Normal 12 3 2" xfId="20588" xr:uid="{00000000-0005-0000-0000-0000B8520000}"/>
    <cellStyle name="Normal 12 4" xfId="20589" xr:uid="{00000000-0005-0000-0000-0000B9520000}"/>
    <cellStyle name="Normal 12 4 2" xfId="20590" xr:uid="{00000000-0005-0000-0000-0000BA520000}"/>
    <cellStyle name="Normal 12 5" xfId="20591" xr:uid="{00000000-0005-0000-0000-0000BB520000}"/>
    <cellStyle name="Normal 12 6" xfId="20580" xr:uid="{00000000-0005-0000-0000-0000BC520000}"/>
    <cellStyle name="Normal 13" xfId="58" xr:uid="{00000000-0005-0000-0000-0000BD520000}"/>
    <cellStyle name="Normal 13 2" xfId="3862" xr:uid="{00000000-0005-0000-0000-0000BE520000}"/>
    <cellStyle name="Normal 13 2 2" xfId="4870" xr:uid="{00000000-0005-0000-0000-0000BF520000}"/>
    <cellStyle name="Normal 13 2 3" xfId="24792" xr:uid="{00000000-0005-0000-0000-0000C0520000}"/>
    <cellStyle name="Normal 13 3" xfId="24791" xr:uid="{00000000-0005-0000-0000-0000C1520000}"/>
    <cellStyle name="Normal 14" xfId="1004" xr:uid="{00000000-0005-0000-0000-0000C2520000}"/>
    <cellStyle name="Normal 14 2" xfId="3863" xr:uid="{00000000-0005-0000-0000-0000C3520000}"/>
    <cellStyle name="Normal 14 2 2" xfId="20593" xr:uid="{00000000-0005-0000-0000-0000C4520000}"/>
    <cellStyle name="Normal 14 3" xfId="4871" xr:uid="{00000000-0005-0000-0000-0000C5520000}"/>
    <cellStyle name="Normal 14 4" xfId="20592" xr:uid="{00000000-0005-0000-0000-0000C6520000}"/>
    <cellStyle name="Normal 15" xfId="1006" xr:uid="{00000000-0005-0000-0000-0000C7520000}"/>
    <cellStyle name="Normal 15 2" xfId="3865" xr:uid="{00000000-0005-0000-0000-0000C8520000}"/>
    <cellStyle name="Normal 15 2 2" xfId="20595" xr:uid="{00000000-0005-0000-0000-0000C9520000}"/>
    <cellStyle name="Normal 15 3" xfId="20594" xr:uid="{00000000-0005-0000-0000-0000CA520000}"/>
    <cellStyle name="Normal 16" xfId="59" xr:uid="{00000000-0005-0000-0000-0000CB520000}"/>
    <cellStyle name="Normal 16 2" xfId="3867" xr:uid="{00000000-0005-0000-0000-0000CC520000}"/>
    <cellStyle name="Normal 16 2 2" xfId="20597" xr:uid="{00000000-0005-0000-0000-0000CD520000}"/>
    <cellStyle name="Normal 16 3" xfId="20596" xr:uid="{00000000-0005-0000-0000-0000CE520000}"/>
    <cellStyle name="Normal 17" xfId="1009" xr:uid="{00000000-0005-0000-0000-0000CF520000}"/>
    <cellStyle name="Normal 17 10" xfId="20599" xr:uid="{00000000-0005-0000-0000-0000D0520000}"/>
    <cellStyle name="Normal 17 10 2" xfId="20600" xr:uid="{00000000-0005-0000-0000-0000D1520000}"/>
    <cellStyle name="Normal 17 10 2 2" xfId="20601" xr:uid="{00000000-0005-0000-0000-0000D2520000}"/>
    <cellStyle name="Normal 17 10 3" xfId="20602" xr:uid="{00000000-0005-0000-0000-0000D3520000}"/>
    <cellStyle name="Normal 17 11" xfId="20603" xr:uid="{00000000-0005-0000-0000-0000D4520000}"/>
    <cellStyle name="Normal 17 11 2" xfId="20604" xr:uid="{00000000-0005-0000-0000-0000D5520000}"/>
    <cellStyle name="Normal 17 12" xfId="20605" xr:uid="{00000000-0005-0000-0000-0000D6520000}"/>
    <cellStyle name="Normal 17 13" xfId="20598" xr:uid="{00000000-0005-0000-0000-0000D7520000}"/>
    <cellStyle name="Normal 17 2" xfId="3869" xr:uid="{00000000-0005-0000-0000-0000D8520000}"/>
    <cellStyle name="Normal 17 2 2" xfId="20607" xr:uid="{00000000-0005-0000-0000-0000D9520000}"/>
    <cellStyle name="Normal 17 2 3" xfId="20606" xr:uid="{00000000-0005-0000-0000-0000DA520000}"/>
    <cellStyle name="Normal 17 3" xfId="20608" xr:uid="{00000000-0005-0000-0000-0000DB520000}"/>
    <cellStyle name="Normal 17 3 2" xfId="20609" xr:uid="{00000000-0005-0000-0000-0000DC520000}"/>
    <cellStyle name="Normal 17 4" xfId="20610" xr:uid="{00000000-0005-0000-0000-0000DD520000}"/>
    <cellStyle name="Normal 17 4 2" xfId="20611" xr:uid="{00000000-0005-0000-0000-0000DE520000}"/>
    <cellStyle name="Normal 17 5" xfId="20612" xr:uid="{00000000-0005-0000-0000-0000DF520000}"/>
    <cellStyle name="Normal 17 5 2" xfId="20613" xr:uid="{00000000-0005-0000-0000-0000E0520000}"/>
    <cellStyle name="Normal 17 6" xfId="20614" xr:uid="{00000000-0005-0000-0000-0000E1520000}"/>
    <cellStyle name="Normal 17 6 2" xfId="20615" xr:uid="{00000000-0005-0000-0000-0000E2520000}"/>
    <cellStyle name="Normal 17 7" xfId="20616" xr:uid="{00000000-0005-0000-0000-0000E3520000}"/>
    <cellStyle name="Normal 17 7 2" xfId="20617" xr:uid="{00000000-0005-0000-0000-0000E4520000}"/>
    <cellStyle name="Normal 17 8" xfId="20618" xr:uid="{00000000-0005-0000-0000-0000E5520000}"/>
    <cellStyle name="Normal 17 8 2" xfId="20619" xr:uid="{00000000-0005-0000-0000-0000E6520000}"/>
    <cellStyle name="Normal 17 9" xfId="20620" xr:uid="{00000000-0005-0000-0000-0000E7520000}"/>
    <cellStyle name="Normal 17 9 2" xfId="20621" xr:uid="{00000000-0005-0000-0000-0000E8520000}"/>
    <cellStyle name="Normal 18" xfId="1011" xr:uid="{00000000-0005-0000-0000-0000E9520000}"/>
    <cellStyle name="Normal 18 2" xfId="3871" xr:uid="{00000000-0005-0000-0000-0000EA520000}"/>
    <cellStyle name="Normal 18 2 2" xfId="20623" xr:uid="{00000000-0005-0000-0000-0000EB520000}"/>
    <cellStyle name="Normal 18 3" xfId="20622" xr:uid="{00000000-0005-0000-0000-0000EC520000}"/>
    <cellStyle name="Normal 19" xfId="1013" xr:uid="{00000000-0005-0000-0000-0000ED520000}"/>
    <cellStyle name="Normal 19 2" xfId="3873" xr:uid="{00000000-0005-0000-0000-0000EE520000}"/>
    <cellStyle name="Normal 19 2 2" xfId="20625" xr:uid="{00000000-0005-0000-0000-0000EF520000}"/>
    <cellStyle name="Normal 19 3" xfId="20624" xr:uid="{00000000-0005-0000-0000-0000F0520000}"/>
    <cellStyle name="Normal 2" xfId="7" xr:uid="{00000000-0005-0000-0000-0000F1520000}"/>
    <cellStyle name="Normal 2 10" xfId="1968" xr:uid="{00000000-0005-0000-0000-0000F2520000}"/>
    <cellStyle name="Normal 2 10 2" xfId="20626" xr:uid="{00000000-0005-0000-0000-0000F3520000}"/>
    <cellStyle name="Normal 2 10 2 2" xfId="20627" xr:uid="{00000000-0005-0000-0000-0000F4520000}"/>
    <cellStyle name="Normal 2 10 3" xfId="20628" xr:uid="{00000000-0005-0000-0000-0000F5520000}"/>
    <cellStyle name="Normal 2 10 3 2" xfId="20629" xr:uid="{00000000-0005-0000-0000-0000F6520000}"/>
    <cellStyle name="Normal 2 10 4" xfId="20630" xr:uid="{00000000-0005-0000-0000-0000F7520000}"/>
    <cellStyle name="Normal 2 10 4 2" xfId="20631" xr:uid="{00000000-0005-0000-0000-0000F8520000}"/>
    <cellStyle name="Normal 2 11" xfId="2343" xr:uid="{00000000-0005-0000-0000-0000F9520000}"/>
    <cellStyle name="Normal 2 11 2" xfId="20632" xr:uid="{00000000-0005-0000-0000-0000FA520000}"/>
    <cellStyle name="Normal 2 11 2 2" xfId="20633" xr:uid="{00000000-0005-0000-0000-0000FB520000}"/>
    <cellStyle name="Normal 2 11 3" xfId="20634" xr:uid="{00000000-0005-0000-0000-0000FC520000}"/>
    <cellStyle name="Normal 2 11 3 2" xfId="20635" xr:uid="{00000000-0005-0000-0000-0000FD520000}"/>
    <cellStyle name="Normal 2 11 4" xfId="20636" xr:uid="{00000000-0005-0000-0000-0000FE520000}"/>
    <cellStyle name="Normal 2 11 4 2" xfId="20637" xr:uid="{00000000-0005-0000-0000-0000FF520000}"/>
    <cellStyle name="Normal 2 12" xfId="2716" xr:uid="{00000000-0005-0000-0000-000000530000}"/>
    <cellStyle name="Normal 2 12 2" xfId="20638" xr:uid="{00000000-0005-0000-0000-000001530000}"/>
    <cellStyle name="Normal 2 12 2 2" xfId="20639" xr:uid="{00000000-0005-0000-0000-000002530000}"/>
    <cellStyle name="Normal 2 12 3" xfId="20640" xr:uid="{00000000-0005-0000-0000-000003530000}"/>
    <cellStyle name="Normal 2 12 3 2" xfId="20641" xr:uid="{00000000-0005-0000-0000-000004530000}"/>
    <cellStyle name="Normal 2 12 4" xfId="20642" xr:uid="{00000000-0005-0000-0000-000005530000}"/>
    <cellStyle name="Normal 2 12 4 2" xfId="20643" xr:uid="{00000000-0005-0000-0000-000006530000}"/>
    <cellStyle name="Normal 2 13" xfId="3089" xr:uid="{00000000-0005-0000-0000-000007530000}"/>
    <cellStyle name="Normal 2 13 2" xfId="20644" xr:uid="{00000000-0005-0000-0000-000008530000}"/>
    <cellStyle name="Normal 2 13 2 2" xfId="20645" xr:uid="{00000000-0005-0000-0000-000009530000}"/>
    <cellStyle name="Normal 2 13 3" xfId="20646" xr:uid="{00000000-0005-0000-0000-00000A530000}"/>
    <cellStyle name="Normal 2 13 3 2" xfId="20647" xr:uid="{00000000-0005-0000-0000-00000B530000}"/>
    <cellStyle name="Normal 2 13 4" xfId="20648" xr:uid="{00000000-0005-0000-0000-00000C530000}"/>
    <cellStyle name="Normal 2 13 4 2" xfId="20649" xr:uid="{00000000-0005-0000-0000-00000D530000}"/>
    <cellStyle name="Normal 2 14" xfId="3460" xr:uid="{00000000-0005-0000-0000-00000E530000}"/>
    <cellStyle name="Normal 2 14 2" xfId="20650" xr:uid="{00000000-0005-0000-0000-00000F530000}"/>
    <cellStyle name="Normal 2 14 2 2" xfId="20651" xr:uid="{00000000-0005-0000-0000-000010530000}"/>
    <cellStyle name="Normal 2 14 3" xfId="20652" xr:uid="{00000000-0005-0000-0000-000011530000}"/>
    <cellStyle name="Normal 2 14 3 2" xfId="20653" xr:uid="{00000000-0005-0000-0000-000012530000}"/>
    <cellStyle name="Normal 2 14 4" xfId="20654" xr:uid="{00000000-0005-0000-0000-000013530000}"/>
    <cellStyle name="Normal 2 14 4 2" xfId="20655" xr:uid="{00000000-0005-0000-0000-000014530000}"/>
    <cellStyle name="Normal 2 15" xfId="3271" xr:uid="{00000000-0005-0000-0000-000015530000}"/>
    <cellStyle name="Normal 2 15 2" xfId="20656" xr:uid="{00000000-0005-0000-0000-000016530000}"/>
    <cellStyle name="Normal 2 15 2 2" xfId="20657" xr:uid="{00000000-0005-0000-0000-000017530000}"/>
    <cellStyle name="Normal 2 15 3" xfId="20658" xr:uid="{00000000-0005-0000-0000-000018530000}"/>
    <cellStyle name="Normal 2 15 3 2" xfId="20659" xr:uid="{00000000-0005-0000-0000-000019530000}"/>
    <cellStyle name="Normal 2 15 4" xfId="20660" xr:uid="{00000000-0005-0000-0000-00001A530000}"/>
    <cellStyle name="Normal 2 15 4 2" xfId="20661" xr:uid="{00000000-0005-0000-0000-00001B530000}"/>
    <cellStyle name="Normal 2 16" xfId="3626" xr:uid="{00000000-0005-0000-0000-00001C530000}"/>
    <cellStyle name="Normal 2 16 2" xfId="20662" xr:uid="{00000000-0005-0000-0000-00001D530000}"/>
    <cellStyle name="Normal 2 16 2 2" xfId="20663" xr:uid="{00000000-0005-0000-0000-00001E530000}"/>
    <cellStyle name="Normal 2 17" xfId="3629" xr:uid="{00000000-0005-0000-0000-00001F530000}"/>
    <cellStyle name="Normal 2 17 2" xfId="20664" xr:uid="{00000000-0005-0000-0000-000020530000}"/>
    <cellStyle name="Normal 2 17 2 2" xfId="20665" xr:uid="{00000000-0005-0000-0000-000021530000}"/>
    <cellStyle name="Normal 2 18" xfId="3631" xr:uid="{00000000-0005-0000-0000-000022530000}"/>
    <cellStyle name="Normal 2 19" xfId="3858" xr:uid="{00000000-0005-0000-0000-000023530000}"/>
    <cellStyle name="Normal 2 19 2" xfId="20667" xr:uid="{00000000-0005-0000-0000-000024530000}"/>
    <cellStyle name="Normal 2 19 2 2" xfId="20668" xr:uid="{00000000-0005-0000-0000-000025530000}"/>
    <cellStyle name="Normal 2 19 3" xfId="20669" xr:uid="{00000000-0005-0000-0000-000026530000}"/>
    <cellStyle name="Normal 2 19 4" xfId="20666" xr:uid="{00000000-0005-0000-0000-000027530000}"/>
    <cellStyle name="Normal 2 2" xfId="8" xr:uid="{00000000-0005-0000-0000-000028530000}"/>
    <cellStyle name="Normal 2 2 10" xfId="20670" xr:uid="{00000000-0005-0000-0000-000029530000}"/>
    <cellStyle name="Normal 2 2 10 2" xfId="20671" xr:uid="{00000000-0005-0000-0000-00002A530000}"/>
    <cellStyle name="Normal 2 2 10 2 2" xfId="20672" xr:uid="{00000000-0005-0000-0000-00002B530000}"/>
    <cellStyle name="Normal 2 2 10 3" xfId="20673" xr:uid="{00000000-0005-0000-0000-00002C530000}"/>
    <cellStyle name="Normal 2 2 10 3 2" xfId="20674" xr:uid="{00000000-0005-0000-0000-00002D530000}"/>
    <cellStyle name="Normal 2 2 10 4" xfId="20675" xr:uid="{00000000-0005-0000-0000-00002E530000}"/>
    <cellStyle name="Normal 2 2 11" xfId="20676" xr:uid="{00000000-0005-0000-0000-00002F530000}"/>
    <cellStyle name="Normal 2 2 11 2" xfId="20677" xr:uid="{00000000-0005-0000-0000-000030530000}"/>
    <cellStyle name="Normal 2 2 11 2 2" xfId="20678" xr:uid="{00000000-0005-0000-0000-000031530000}"/>
    <cellStyle name="Normal 2 2 11 3" xfId="20679" xr:uid="{00000000-0005-0000-0000-000032530000}"/>
    <cellStyle name="Normal 2 2 11 3 2" xfId="20680" xr:uid="{00000000-0005-0000-0000-000033530000}"/>
    <cellStyle name="Normal 2 2 11 4" xfId="20681" xr:uid="{00000000-0005-0000-0000-000034530000}"/>
    <cellStyle name="Normal 2 2 12" xfId="20682" xr:uid="{00000000-0005-0000-0000-000035530000}"/>
    <cellStyle name="Normal 2 2 12 2" xfId="20683" xr:uid="{00000000-0005-0000-0000-000036530000}"/>
    <cellStyle name="Normal 2 2 12 2 2" xfId="20684" xr:uid="{00000000-0005-0000-0000-000037530000}"/>
    <cellStyle name="Normal 2 2 12 3" xfId="20685" xr:uid="{00000000-0005-0000-0000-000038530000}"/>
    <cellStyle name="Normal 2 2 12 3 2" xfId="20686" xr:uid="{00000000-0005-0000-0000-000039530000}"/>
    <cellStyle name="Normal 2 2 12 4" xfId="20687" xr:uid="{00000000-0005-0000-0000-00003A530000}"/>
    <cellStyle name="Normal 2 2 13" xfId="20688" xr:uid="{00000000-0005-0000-0000-00003B530000}"/>
    <cellStyle name="Normal 2 2 13 2" xfId="20689" xr:uid="{00000000-0005-0000-0000-00003C530000}"/>
    <cellStyle name="Normal 2 2 14" xfId="20690" xr:uid="{00000000-0005-0000-0000-00003D530000}"/>
    <cellStyle name="Normal 2 2 14 2" xfId="20691" xr:uid="{00000000-0005-0000-0000-00003E530000}"/>
    <cellStyle name="Normal 2 2 15" xfId="20692" xr:uid="{00000000-0005-0000-0000-00003F530000}"/>
    <cellStyle name="Normal 2 2 15 2" xfId="20693" xr:uid="{00000000-0005-0000-0000-000040530000}"/>
    <cellStyle name="Normal 2 2 2" xfId="7103" xr:uid="{00000000-0005-0000-0000-000041530000}"/>
    <cellStyle name="Normal 2 2 2 2" xfId="20695" xr:uid="{00000000-0005-0000-0000-000042530000}"/>
    <cellStyle name="Normal 2 2 2 2 2" xfId="20696" xr:uid="{00000000-0005-0000-0000-000043530000}"/>
    <cellStyle name="Normal 2 2 2 3" xfId="20697" xr:uid="{00000000-0005-0000-0000-000044530000}"/>
    <cellStyle name="Normal 2 2 2 3 2" xfId="20698" xr:uid="{00000000-0005-0000-0000-000045530000}"/>
    <cellStyle name="Normal 2 2 2 4" xfId="20699" xr:uid="{00000000-0005-0000-0000-000046530000}"/>
    <cellStyle name="Normal 2 2 2 5" xfId="20694" xr:uid="{00000000-0005-0000-0000-000047530000}"/>
    <cellStyle name="Normal 2 2 3" xfId="20700" xr:uid="{00000000-0005-0000-0000-000048530000}"/>
    <cellStyle name="Normal 2 2 3 2" xfId="20701" xr:uid="{00000000-0005-0000-0000-000049530000}"/>
    <cellStyle name="Normal 2 2 3 2 2" xfId="20702" xr:uid="{00000000-0005-0000-0000-00004A530000}"/>
    <cellStyle name="Normal 2 2 3 3" xfId="20703" xr:uid="{00000000-0005-0000-0000-00004B530000}"/>
    <cellStyle name="Normal 2 2 3 3 2" xfId="20704" xr:uid="{00000000-0005-0000-0000-00004C530000}"/>
    <cellStyle name="Normal 2 2 3 4" xfId="20705" xr:uid="{00000000-0005-0000-0000-00004D530000}"/>
    <cellStyle name="Normal 2 2 3 5" xfId="24540" xr:uid="{00000000-0005-0000-0000-00004E530000}"/>
    <cellStyle name="Normal 2 2 4" xfId="20706" xr:uid="{00000000-0005-0000-0000-00004F530000}"/>
    <cellStyle name="Normal 2 2 4 2" xfId="20707" xr:uid="{00000000-0005-0000-0000-000050530000}"/>
    <cellStyle name="Normal 2 2 4 2 2" xfId="20708" xr:uid="{00000000-0005-0000-0000-000051530000}"/>
    <cellStyle name="Normal 2 2 4 3" xfId="20709" xr:uid="{00000000-0005-0000-0000-000052530000}"/>
    <cellStyle name="Normal 2 2 4 3 2" xfId="20710" xr:uid="{00000000-0005-0000-0000-000053530000}"/>
    <cellStyle name="Normal 2 2 4 4" xfId="20711" xr:uid="{00000000-0005-0000-0000-000054530000}"/>
    <cellStyle name="Normal 2 2 5" xfId="20712" xr:uid="{00000000-0005-0000-0000-000055530000}"/>
    <cellStyle name="Normal 2 2 5 2" xfId="20713" xr:uid="{00000000-0005-0000-0000-000056530000}"/>
    <cellStyle name="Normal 2 2 5 2 2" xfId="20714" xr:uid="{00000000-0005-0000-0000-000057530000}"/>
    <cellStyle name="Normal 2 2 5 3" xfId="20715" xr:uid="{00000000-0005-0000-0000-000058530000}"/>
    <cellStyle name="Normal 2 2 5 3 2" xfId="20716" xr:uid="{00000000-0005-0000-0000-000059530000}"/>
    <cellStyle name="Normal 2 2 5 4" xfId="20717" xr:uid="{00000000-0005-0000-0000-00005A530000}"/>
    <cellStyle name="Normal 2 2 6" xfId="20718" xr:uid="{00000000-0005-0000-0000-00005B530000}"/>
    <cellStyle name="Normal 2 2 6 2" xfId="20719" xr:uid="{00000000-0005-0000-0000-00005C530000}"/>
    <cellStyle name="Normal 2 2 6 2 2" xfId="20720" xr:uid="{00000000-0005-0000-0000-00005D530000}"/>
    <cellStyle name="Normal 2 2 6 3" xfId="20721" xr:uid="{00000000-0005-0000-0000-00005E530000}"/>
    <cellStyle name="Normal 2 2 6 3 2" xfId="20722" xr:uid="{00000000-0005-0000-0000-00005F530000}"/>
    <cellStyle name="Normal 2 2 6 4" xfId="20723" xr:uid="{00000000-0005-0000-0000-000060530000}"/>
    <cellStyle name="Normal 2 2 7" xfId="20724" xr:uid="{00000000-0005-0000-0000-000061530000}"/>
    <cellStyle name="Normal 2 2 7 2" xfId="20725" xr:uid="{00000000-0005-0000-0000-000062530000}"/>
    <cellStyle name="Normal 2 2 7 2 2" xfId="20726" xr:uid="{00000000-0005-0000-0000-000063530000}"/>
    <cellStyle name="Normal 2 2 7 3" xfId="20727" xr:uid="{00000000-0005-0000-0000-000064530000}"/>
    <cellStyle name="Normal 2 2 7 3 2" xfId="20728" xr:uid="{00000000-0005-0000-0000-000065530000}"/>
    <cellStyle name="Normal 2 2 7 4" xfId="20729" xr:uid="{00000000-0005-0000-0000-000066530000}"/>
    <cellStyle name="Normal 2 2 8" xfId="20730" xr:uid="{00000000-0005-0000-0000-000067530000}"/>
    <cellStyle name="Normal 2 2 8 2" xfId="20731" xr:uid="{00000000-0005-0000-0000-000068530000}"/>
    <cellStyle name="Normal 2 2 8 2 2" xfId="20732" xr:uid="{00000000-0005-0000-0000-000069530000}"/>
    <cellStyle name="Normal 2 2 8 3" xfId="20733" xr:uid="{00000000-0005-0000-0000-00006A530000}"/>
    <cellStyle name="Normal 2 2 8 3 2" xfId="20734" xr:uid="{00000000-0005-0000-0000-00006B530000}"/>
    <cellStyle name="Normal 2 2 8 4" xfId="20735" xr:uid="{00000000-0005-0000-0000-00006C530000}"/>
    <cellStyle name="Normal 2 2 9" xfId="20736" xr:uid="{00000000-0005-0000-0000-00006D530000}"/>
    <cellStyle name="Normal 2 2 9 2" xfId="20737" xr:uid="{00000000-0005-0000-0000-00006E530000}"/>
    <cellStyle name="Normal 2 2 9 2 2" xfId="20738" xr:uid="{00000000-0005-0000-0000-00006F530000}"/>
    <cellStyle name="Normal 2 2 9 3" xfId="20739" xr:uid="{00000000-0005-0000-0000-000070530000}"/>
    <cellStyle name="Normal 2 2 9 3 2" xfId="20740" xr:uid="{00000000-0005-0000-0000-000071530000}"/>
    <cellStyle name="Normal 2 2 9 4" xfId="20741" xr:uid="{00000000-0005-0000-0000-000072530000}"/>
    <cellStyle name="Normal 2 20" xfId="1001" xr:uid="{00000000-0005-0000-0000-000073530000}"/>
    <cellStyle name="Normal 2 20 2" xfId="20743" xr:uid="{00000000-0005-0000-0000-000074530000}"/>
    <cellStyle name="Normal 2 20 3" xfId="20742" xr:uid="{00000000-0005-0000-0000-000075530000}"/>
    <cellStyle name="Normal 2 21" xfId="20744" xr:uid="{00000000-0005-0000-0000-000076530000}"/>
    <cellStyle name="Normal 2 21 2" xfId="20745" xr:uid="{00000000-0005-0000-0000-000077530000}"/>
    <cellStyle name="Normal 2 22" xfId="24457" xr:uid="{00000000-0005-0000-0000-000078530000}"/>
    <cellStyle name="Normal 2 23" xfId="28685" xr:uid="{00000000-0005-0000-0000-000079530000}"/>
    <cellStyle name="Normal 2 24" xfId="28690" xr:uid="{00000000-0005-0000-0000-00007A530000}"/>
    <cellStyle name="Normal 2 3" xfId="1274" xr:uid="{00000000-0005-0000-0000-00007B530000}"/>
    <cellStyle name="Normal 2 3 10" xfId="20746" xr:uid="{00000000-0005-0000-0000-00007C530000}"/>
    <cellStyle name="Normal 2 3 10 2" xfId="20747" xr:uid="{00000000-0005-0000-0000-00007D530000}"/>
    <cellStyle name="Normal 2 3 10 2 2" xfId="20748" xr:uid="{00000000-0005-0000-0000-00007E530000}"/>
    <cellStyle name="Normal 2 3 10 3" xfId="20749" xr:uid="{00000000-0005-0000-0000-00007F530000}"/>
    <cellStyle name="Normal 2 3 10 3 2" xfId="20750" xr:uid="{00000000-0005-0000-0000-000080530000}"/>
    <cellStyle name="Normal 2 3 10 4" xfId="20751" xr:uid="{00000000-0005-0000-0000-000081530000}"/>
    <cellStyle name="Normal 2 3 11" xfId="20752" xr:uid="{00000000-0005-0000-0000-000082530000}"/>
    <cellStyle name="Normal 2 3 11 2" xfId="20753" xr:uid="{00000000-0005-0000-0000-000083530000}"/>
    <cellStyle name="Normal 2 3 11 2 2" xfId="20754" xr:uid="{00000000-0005-0000-0000-000084530000}"/>
    <cellStyle name="Normal 2 3 11 3" xfId="20755" xr:uid="{00000000-0005-0000-0000-000085530000}"/>
    <cellStyle name="Normal 2 3 11 3 2" xfId="20756" xr:uid="{00000000-0005-0000-0000-000086530000}"/>
    <cellStyle name="Normal 2 3 11 4" xfId="20757" xr:uid="{00000000-0005-0000-0000-000087530000}"/>
    <cellStyle name="Normal 2 3 12" xfId="20758" xr:uid="{00000000-0005-0000-0000-000088530000}"/>
    <cellStyle name="Normal 2 3 12 2" xfId="20759" xr:uid="{00000000-0005-0000-0000-000089530000}"/>
    <cellStyle name="Normal 2 3 12 2 2" xfId="20760" xr:uid="{00000000-0005-0000-0000-00008A530000}"/>
    <cellStyle name="Normal 2 3 12 3" xfId="20761" xr:uid="{00000000-0005-0000-0000-00008B530000}"/>
    <cellStyle name="Normal 2 3 12 3 2" xfId="20762" xr:uid="{00000000-0005-0000-0000-00008C530000}"/>
    <cellStyle name="Normal 2 3 12 4" xfId="20763" xr:uid="{00000000-0005-0000-0000-00008D530000}"/>
    <cellStyle name="Normal 2 3 13" xfId="20764" xr:uid="{00000000-0005-0000-0000-00008E530000}"/>
    <cellStyle name="Normal 2 3 13 2" xfId="20765" xr:uid="{00000000-0005-0000-0000-00008F530000}"/>
    <cellStyle name="Normal 2 3 14" xfId="20766" xr:uid="{00000000-0005-0000-0000-000090530000}"/>
    <cellStyle name="Normal 2 3 14 2" xfId="20767" xr:uid="{00000000-0005-0000-0000-000091530000}"/>
    <cellStyle name="Normal 2 3 15" xfId="20768" xr:uid="{00000000-0005-0000-0000-000092530000}"/>
    <cellStyle name="Normal 2 3 15 2" xfId="20769" xr:uid="{00000000-0005-0000-0000-000093530000}"/>
    <cellStyle name="Normal 2 3 2" xfId="20770" xr:uid="{00000000-0005-0000-0000-000094530000}"/>
    <cellStyle name="Normal 2 3 2 2" xfId="20771" xr:uid="{00000000-0005-0000-0000-000095530000}"/>
    <cellStyle name="Normal 2 3 2 2 2" xfId="20772" xr:uid="{00000000-0005-0000-0000-000096530000}"/>
    <cellStyle name="Normal 2 3 2 3" xfId="20773" xr:uid="{00000000-0005-0000-0000-000097530000}"/>
    <cellStyle name="Normal 2 3 2 3 2" xfId="20774" xr:uid="{00000000-0005-0000-0000-000098530000}"/>
    <cellStyle name="Normal 2 3 2 4" xfId="20775" xr:uid="{00000000-0005-0000-0000-000099530000}"/>
    <cellStyle name="Normal 2 3 3" xfId="20776" xr:uid="{00000000-0005-0000-0000-00009A530000}"/>
    <cellStyle name="Normal 2 3 3 2" xfId="20777" xr:uid="{00000000-0005-0000-0000-00009B530000}"/>
    <cellStyle name="Normal 2 3 3 2 2" xfId="20778" xr:uid="{00000000-0005-0000-0000-00009C530000}"/>
    <cellStyle name="Normal 2 3 3 3" xfId="20779" xr:uid="{00000000-0005-0000-0000-00009D530000}"/>
    <cellStyle name="Normal 2 3 3 3 2" xfId="20780" xr:uid="{00000000-0005-0000-0000-00009E530000}"/>
    <cellStyle name="Normal 2 3 3 4" xfId="20781" xr:uid="{00000000-0005-0000-0000-00009F530000}"/>
    <cellStyle name="Normal 2 3 4" xfId="20782" xr:uid="{00000000-0005-0000-0000-0000A0530000}"/>
    <cellStyle name="Normal 2 3 4 2" xfId="20783" xr:uid="{00000000-0005-0000-0000-0000A1530000}"/>
    <cellStyle name="Normal 2 3 4 2 2" xfId="20784" xr:uid="{00000000-0005-0000-0000-0000A2530000}"/>
    <cellStyle name="Normal 2 3 4 3" xfId="20785" xr:uid="{00000000-0005-0000-0000-0000A3530000}"/>
    <cellStyle name="Normal 2 3 4 3 2" xfId="20786" xr:uid="{00000000-0005-0000-0000-0000A4530000}"/>
    <cellStyle name="Normal 2 3 4 4" xfId="20787" xr:uid="{00000000-0005-0000-0000-0000A5530000}"/>
    <cellStyle name="Normal 2 3 5" xfId="20788" xr:uid="{00000000-0005-0000-0000-0000A6530000}"/>
    <cellStyle name="Normal 2 3 5 2" xfId="20789" xr:uid="{00000000-0005-0000-0000-0000A7530000}"/>
    <cellStyle name="Normal 2 3 5 2 2" xfId="20790" xr:uid="{00000000-0005-0000-0000-0000A8530000}"/>
    <cellStyle name="Normal 2 3 5 3" xfId="20791" xr:uid="{00000000-0005-0000-0000-0000A9530000}"/>
    <cellStyle name="Normal 2 3 5 3 2" xfId="20792" xr:uid="{00000000-0005-0000-0000-0000AA530000}"/>
    <cellStyle name="Normal 2 3 5 4" xfId="20793" xr:uid="{00000000-0005-0000-0000-0000AB530000}"/>
    <cellStyle name="Normal 2 3 6" xfId="20794" xr:uid="{00000000-0005-0000-0000-0000AC530000}"/>
    <cellStyle name="Normal 2 3 6 2" xfId="20795" xr:uid="{00000000-0005-0000-0000-0000AD530000}"/>
    <cellStyle name="Normal 2 3 6 2 2" xfId="20796" xr:uid="{00000000-0005-0000-0000-0000AE530000}"/>
    <cellStyle name="Normal 2 3 6 3" xfId="20797" xr:uid="{00000000-0005-0000-0000-0000AF530000}"/>
    <cellStyle name="Normal 2 3 6 3 2" xfId="20798" xr:uid="{00000000-0005-0000-0000-0000B0530000}"/>
    <cellStyle name="Normal 2 3 6 4" xfId="20799" xr:uid="{00000000-0005-0000-0000-0000B1530000}"/>
    <cellStyle name="Normal 2 3 7" xfId="20800" xr:uid="{00000000-0005-0000-0000-0000B2530000}"/>
    <cellStyle name="Normal 2 3 7 2" xfId="20801" xr:uid="{00000000-0005-0000-0000-0000B3530000}"/>
    <cellStyle name="Normal 2 3 7 2 2" xfId="20802" xr:uid="{00000000-0005-0000-0000-0000B4530000}"/>
    <cellStyle name="Normal 2 3 7 3" xfId="20803" xr:uid="{00000000-0005-0000-0000-0000B5530000}"/>
    <cellStyle name="Normal 2 3 7 3 2" xfId="20804" xr:uid="{00000000-0005-0000-0000-0000B6530000}"/>
    <cellStyle name="Normal 2 3 7 4" xfId="20805" xr:uid="{00000000-0005-0000-0000-0000B7530000}"/>
    <cellStyle name="Normal 2 3 8" xfId="20806" xr:uid="{00000000-0005-0000-0000-0000B8530000}"/>
    <cellStyle name="Normal 2 3 8 2" xfId="20807" xr:uid="{00000000-0005-0000-0000-0000B9530000}"/>
    <cellStyle name="Normal 2 3 8 2 2" xfId="20808" xr:uid="{00000000-0005-0000-0000-0000BA530000}"/>
    <cellStyle name="Normal 2 3 8 3" xfId="20809" xr:uid="{00000000-0005-0000-0000-0000BB530000}"/>
    <cellStyle name="Normal 2 3 8 3 2" xfId="20810" xr:uid="{00000000-0005-0000-0000-0000BC530000}"/>
    <cellStyle name="Normal 2 3 8 4" xfId="20811" xr:uid="{00000000-0005-0000-0000-0000BD530000}"/>
    <cellStyle name="Normal 2 3 9" xfId="20812" xr:uid="{00000000-0005-0000-0000-0000BE530000}"/>
    <cellStyle name="Normal 2 3 9 2" xfId="20813" xr:uid="{00000000-0005-0000-0000-0000BF530000}"/>
    <cellStyle name="Normal 2 3 9 2 2" xfId="20814" xr:uid="{00000000-0005-0000-0000-0000C0530000}"/>
    <cellStyle name="Normal 2 3 9 3" xfId="20815" xr:uid="{00000000-0005-0000-0000-0000C1530000}"/>
    <cellStyle name="Normal 2 3 9 3 2" xfId="20816" xr:uid="{00000000-0005-0000-0000-0000C2530000}"/>
    <cellStyle name="Normal 2 3 9 4" xfId="20817" xr:uid="{00000000-0005-0000-0000-0000C3530000}"/>
    <cellStyle name="Normal 2 4" xfId="1384" xr:uid="{00000000-0005-0000-0000-0000C4530000}"/>
    <cellStyle name="Normal 2 4 10" xfId="20818" xr:uid="{00000000-0005-0000-0000-0000C5530000}"/>
    <cellStyle name="Normal 2 4 10 2" xfId="20819" xr:uid="{00000000-0005-0000-0000-0000C6530000}"/>
    <cellStyle name="Normal 2 4 10 2 2" xfId="20820" xr:uid="{00000000-0005-0000-0000-0000C7530000}"/>
    <cellStyle name="Normal 2 4 10 3" xfId="20821" xr:uid="{00000000-0005-0000-0000-0000C8530000}"/>
    <cellStyle name="Normal 2 4 10 3 2" xfId="20822" xr:uid="{00000000-0005-0000-0000-0000C9530000}"/>
    <cellStyle name="Normal 2 4 10 4" xfId="20823" xr:uid="{00000000-0005-0000-0000-0000CA530000}"/>
    <cellStyle name="Normal 2 4 11" xfId="20824" xr:uid="{00000000-0005-0000-0000-0000CB530000}"/>
    <cellStyle name="Normal 2 4 11 2" xfId="20825" xr:uid="{00000000-0005-0000-0000-0000CC530000}"/>
    <cellStyle name="Normal 2 4 11 2 2" xfId="20826" xr:uid="{00000000-0005-0000-0000-0000CD530000}"/>
    <cellStyle name="Normal 2 4 11 3" xfId="20827" xr:uid="{00000000-0005-0000-0000-0000CE530000}"/>
    <cellStyle name="Normal 2 4 11 3 2" xfId="20828" xr:uid="{00000000-0005-0000-0000-0000CF530000}"/>
    <cellStyle name="Normal 2 4 11 4" xfId="20829" xr:uid="{00000000-0005-0000-0000-0000D0530000}"/>
    <cellStyle name="Normal 2 4 12" xfId="20830" xr:uid="{00000000-0005-0000-0000-0000D1530000}"/>
    <cellStyle name="Normal 2 4 12 2" xfId="20831" xr:uid="{00000000-0005-0000-0000-0000D2530000}"/>
    <cellStyle name="Normal 2 4 12 2 2" xfId="20832" xr:uid="{00000000-0005-0000-0000-0000D3530000}"/>
    <cellStyle name="Normal 2 4 12 3" xfId="20833" xr:uid="{00000000-0005-0000-0000-0000D4530000}"/>
    <cellStyle name="Normal 2 4 12 3 2" xfId="20834" xr:uid="{00000000-0005-0000-0000-0000D5530000}"/>
    <cellStyle name="Normal 2 4 12 4" xfId="20835" xr:uid="{00000000-0005-0000-0000-0000D6530000}"/>
    <cellStyle name="Normal 2 4 13" xfId="20836" xr:uid="{00000000-0005-0000-0000-0000D7530000}"/>
    <cellStyle name="Normal 2 4 13 2" xfId="20837" xr:uid="{00000000-0005-0000-0000-0000D8530000}"/>
    <cellStyle name="Normal 2 4 14" xfId="20838" xr:uid="{00000000-0005-0000-0000-0000D9530000}"/>
    <cellStyle name="Normal 2 4 14 2" xfId="20839" xr:uid="{00000000-0005-0000-0000-0000DA530000}"/>
    <cellStyle name="Normal 2 4 15" xfId="20840" xr:uid="{00000000-0005-0000-0000-0000DB530000}"/>
    <cellStyle name="Normal 2 4 15 2" xfId="20841" xr:uid="{00000000-0005-0000-0000-0000DC530000}"/>
    <cellStyle name="Normal 2 4 2" xfId="20842" xr:uid="{00000000-0005-0000-0000-0000DD530000}"/>
    <cellStyle name="Normal 2 4 2 2" xfId="20843" xr:uid="{00000000-0005-0000-0000-0000DE530000}"/>
    <cellStyle name="Normal 2 4 2 2 2" xfId="20844" xr:uid="{00000000-0005-0000-0000-0000DF530000}"/>
    <cellStyle name="Normal 2 4 2 3" xfId="20845" xr:uid="{00000000-0005-0000-0000-0000E0530000}"/>
    <cellStyle name="Normal 2 4 2 3 2" xfId="20846" xr:uid="{00000000-0005-0000-0000-0000E1530000}"/>
    <cellStyle name="Normal 2 4 2 4" xfId="20847" xr:uid="{00000000-0005-0000-0000-0000E2530000}"/>
    <cellStyle name="Normal 2 4 3" xfId="20848" xr:uid="{00000000-0005-0000-0000-0000E3530000}"/>
    <cellStyle name="Normal 2 4 3 2" xfId="20849" xr:uid="{00000000-0005-0000-0000-0000E4530000}"/>
    <cellStyle name="Normal 2 4 3 2 2" xfId="20850" xr:uid="{00000000-0005-0000-0000-0000E5530000}"/>
    <cellStyle name="Normal 2 4 3 3" xfId="20851" xr:uid="{00000000-0005-0000-0000-0000E6530000}"/>
    <cellStyle name="Normal 2 4 3 3 2" xfId="20852" xr:uid="{00000000-0005-0000-0000-0000E7530000}"/>
    <cellStyle name="Normal 2 4 3 4" xfId="20853" xr:uid="{00000000-0005-0000-0000-0000E8530000}"/>
    <cellStyle name="Normal 2 4 3 5" xfId="24793" xr:uid="{00000000-0005-0000-0000-0000E9530000}"/>
    <cellStyle name="Normal 2 4 3 5 2" xfId="26913" xr:uid="{00000000-0005-0000-0000-0000EA530000}"/>
    <cellStyle name="Normal 2 4 4" xfId="20854" xr:uid="{00000000-0005-0000-0000-0000EB530000}"/>
    <cellStyle name="Normal 2 4 4 2" xfId="20855" xr:uid="{00000000-0005-0000-0000-0000EC530000}"/>
    <cellStyle name="Normal 2 4 4 2 2" xfId="20856" xr:uid="{00000000-0005-0000-0000-0000ED530000}"/>
    <cellStyle name="Normal 2 4 4 3" xfId="20857" xr:uid="{00000000-0005-0000-0000-0000EE530000}"/>
    <cellStyle name="Normal 2 4 4 3 2" xfId="20858" xr:uid="{00000000-0005-0000-0000-0000EF530000}"/>
    <cellStyle name="Normal 2 4 4 4" xfId="20859" xr:uid="{00000000-0005-0000-0000-0000F0530000}"/>
    <cellStyle name="Normal 2 4 5" xfId="20860" xr:uid="{00000000-0005-0000-0000-0000F1530000}"/>
    <cellStyle name="Normal 2 4 5 2" xfId="20861" xr:uid="{00000000-0005-0000-0000-0000F2530000}"/>
    <cellStyle name="Normal 2 4 5 2 2" xfId="20862" xr:uid="{00000000-0005-0000-0000-0000F3530000}"/>
    <cellStyle name="Normal 2 4 5 3" xfId="20863" xr:uid="{00000000-0005-0000-0000-0000F4530000}"/>
    <cellStyle name="Normal 2 4 5 3 2" xfId="20864" xr:uid="{00000000-0005-0000-0000-0000F5530000}"/>
    <cellStyle name="Normal 2 4 5 4" xfId="20865" xr:uid="{00000000-0005-0000-0000-0000F6530000}"/>
    <cellStyle name="Normal 2 4 6" xfId="20866" xr:uid="{00000000-0005-0000-0000-0000F7530000}"/>
    <cellStyle name="Normal 2 4 6 2" xfId="20867" xr:uid="{00000000-0005-0000-0000-0000F8530000}"/>
    <cellStyle name="Normal 2 4 6 2 2" xfId="20868" xr:uid="{00000000-0005-0000-0000-0000F9530000}"/>
    <cellStyle name="Normal 2 4 6 3" xfId="20869" xr:uid="{00000000-0005-0000-0000-0000FA530000}"/>
    <cellStyle name="Normal 2 4 6 3 2" xfId="20870" xr:uid="{00000000-0005-0000-0000-0000FB530000}"/>
    <cellStyle name="Normal 2 4 6 4" xfId="20871" xr:uid="{00000000-0005-0000-0000-0000FC530000}"/>
    <cellStyle name="Normal 2 4 7" xfId="20872" xr:uid="{00000000-0005-0000-0000-0000FD530000}"/>
    <cellStyle name="Normal 2 4 7 2" xfId="20873" xr:uid="{00000000-0005-0000-0000-0000FE530000}"/>
    <cellStyle name="Normal 2 4 7 2 2" xfId="20874" xr:uid="{00000000-0005-0000-0000-0000FF530000}"/>
    <cellStyle name="Normal 2 4 7 3" xfId="20875" xr:uid="{00000000-0005-0000-0000-000000540000}"/>
    <cellStyle name="Normal 2 4 7 3 2" xfId="20876" xr:uid="{00000000-0005-0000-0000-000001540000}"/>
    <cellStyle name="Normal 2 4 7 4" xfId="20877" xr:uid="{00000000-0005-0000-0000-000002540000}"/>
    <cellStyle name="Normal 2 4 8" xfId="20878" xr:uid="{00000000-0005-0000-0000-000003540000}"/>
    <cellStyle name="Normal 2 4 8 2" xfId="20879" xr:uid="{00000000-0005-0000-0000-000004540000}"/>
    <cellStyle name="Normal 2 4 8 2 2" xfId="20880" xr:uid="{00000000-0005-0000-0000-000005540000}"/>
    <cellStyle name="Normal 2 4 8 3" xfId="20881" xr:uid="{00000000-0005-0000-0000-000006540000}"/>
    <cellStyle name="Normal 2 4 8 3 2" xfId="20882" xr:uid="{00000000-0005-0000-0000-000007540000}"/>
    <cellStyle name="Normal 2 4 8 4" xfId="20883" xr:uid="{00000000-0005-0000-0000-000008540000}"/>
    <cellStyle name="Normal 2 4 9" xfId="20884" xr:uid="{00000000-0005-0000-0000-000009540000}"/>
    <cellStyle name="Normal 2 4 9 2" xfId="20885" xr:uid="{00000000-0005-0000-0000-00000A540000}"/>
    <cellStyle name="Normal 2 4 9 2 2" xfId="20886" xr:uid="{00000000-0005-0000-0000-00000B540000}"/>
    <cellStyle name="Normal 2 4 9 3" xfId="20887" xr:uid="{00000000-0005-0000-0000-00000C540000}"/>
    <cellStyle name="Normal 2 4 9 3 2" xfId="20888" xr:uid="{00000000-0005-0000-0000-00000D540000}"/>
    <cellStyle name="Normal 2 4 9 4" xfId="20889" xr:uid="{00000000-0005-0000-0000-00000E540000}"/>
    <cellStyle name="Normal 2 5" xfId="1388" xr:uid="{00000000-0005-0000-0000-00000F540000}"/>
    <cellStyle name="Normal 2 5 2" xfId="20890" xr:uid="{00000000-0005-0000-0000-000010540000}"/>
    <cellStyle name="Normal 2 5 2 2" xfId="20891" xr:uid="{00000000-0005-0000-0000-000011540000}"/>
    <cellStyle name="Normal 2 5 2 2 2" xfId="20892" xr:uid="{00000000-0005-0000-0000-000012540000}"/>
    <cellStyle name="Normal 2 5 2 3" xfId="20893" xr:uid="{00000000-0005-0000-0000-000013540000}"/>
    <cellStyle name="Normal 2 5 2 3 2" xfId="20894" xr:uid="{00000000-0005-0000-0000-000014540000}"/>
    <cellStyle name="Normal 2 5 2 4" xfId="20895" xr:uid="{00000000-0005-0000-0000-000015540000}"/>
    <cellStyle name="Normal 2 5 2 5" xfId="24795" xr:uid="{00000000-0005-0000-0000-000016540000}"/>
    <cellStyle name="Normal 2 5 3" xfId="20896" xr:uid="{00000000-0005-0000-0000-000017540000}"/>
    <cellStyle name="Normal 2 5 3 2" xfId="20897" xr:uid="{00000000-0005-0000-0000-000018540000}"/>
    <cellStyle name="Normal 2 5 4" xfId="20898" xr:uid="{00000000-0005-0000-0000-000019540000}"/>
    <cellStyle name="Normal 2 5 4 2" xfId="20899" xr:uid="{00000000-0005-0000-0000-00001A540000}"/>
    <cellStyle name="Normal 2 5 5" xfId="20900" xr:uid="{00000000-0005-0000-0000-00001B540000}"/>
    <cellStyle name="Normal 2 5 5 2" xfId="20901" xr:uid="{00000000-0005-0000-0000-00001C540000}"/>
    <cellStyle name="Normal 2 5 6" xfId="24794" xr:uid="{00000000-0005-0000-0000-00001D540000}"/>
    <cellStyle name="Normal 2 6" xfId="1391" xr:uid="{00000000-0005-0000-0000-00001E540000}"/>
    <cellStyle name="Normal 2 6 2" xfId="20902" xr:uid="{00000000-0005-0000-0000-00001F540000}"/>
    <cellStyle name="Normal 2 6 2 2" xfId="20903" xr:uid="{00000000-0005-0000-0000-000020540000}"/>
    <cellStyle name="Normal 2 6 2 3" xfId="24797" xr:uid="{00000000-0005-0000-0000-000021540000}"/>
    <cellStyle name="Normal 2 6 3" xfId="20904" xr:uid="{00000000-0005-0000-0000-000022540000}"/>
    <cellStyle name="Normal 2 6 3 2" xfId="20905" xr:uid="{00000000-0005-0000-0000-000023540000}"/>
    <cellStyle name="Normal 2 6 4" xfId="20906" xr:uid="{00000000-0005-0000-0000-000024540000}"/>
    <cellStyle name="Normal 2 6 4 2" xfId="20907" xr:uid="{00000000-0005-0000-0000-000025540000}"/>
    <cellStyle name="Normal 2 6 5" xfId="24796" xr:uid="{00000000-0005-0000-0000-000026540000}"/>
    <cellStyle name="Normal 2 7" xfId="1394" xr:uid="{00000000-0005-0000-0000-000027540000}"/>
    <cellStyle name="Normal 2 7 2" xfId="20909" xr:uid="{00000000-0005-0000-0000-000028540000}"/>
    <cellStyle name="Normal 2 7 2 2" xfId="20910" xr:uid="{00000000-0005-0000-0000-000029540000}"/>
    <cellStyle name="Normal 2 7 3" xfId="20911" xr:uid="{00000000-0005-0000-0000-00002A540000}"/>
    <cellStyle name="Normal 2 7 3 2" xfId="20912" xr:uid="{00000000-0005-0000-0000-00002B540000}"/>
    <cellStyle name="Normal 2 7 4" xfId="20913" xr:uid="{00000000-0005-0000-0000-00002C540000}"/>
    <cellStyle name="Normal 2 7 4 2" xfId="20914" xr:uid="{00000000-0005-0000-0000-00002D540000}"/>
    <cellStyle name="Normal 2 7 5" xfId="24798" xr:uid="{00000000-0005-0000-0000-00002E540000}"/>
    <cellStyle name="Normal 2 8" xfId="1568" xr:uid="{00000000-0005-0000-0000-00002F540000}"/>
    <cellStyle name="Normal 2 8 2" xfId="20915" xr:uid="{00000000-0005-0000-0000-000030540000}"/>
    <cellStyle name="Normal 2 8 2 2" xfId="20916" xr:uid="{00000000-0005-0000-0000-000031540000}"/>
    <cellStyle name="Normal 2 8 3" xfId="20917" xr:uid="{00000000-0005-0000-0000-000032540000}"/>
    <cellStyle name="Normal 2 8 3 2" xfId="20918" xr:uid="{00000000-0005-0000-0000-000033540000}"/>
    <cellStyle name="Normal 2 8 4" xfId="20919" xr:uid="{00000000-0005-0000-0000-000034540000}"/>
    <cellStyle name="Normal 2 8 4 2" xfId="20920" xr:uid="{00000000-0005-0000-0000-000035540000}"/>
    <cellStyle name="Normal 2 9" xfId="1542" xr:uid="{00000000-0005-0000-0000-000036540000}"/>
    <cellStyle name="Normal 2 9 2" xfId="20921" xr:uid="{00000000-0005-0000-0000-000037540000}"/>
    <cellStyle name="Normal 2 9 2 2" xfId="20922" xr:uid="{00000000-0005-0000-0000-000038540000}"/>
    <cellStyle name="Normal 2 9 3" xfId="20923" xr:uid="{00000000-0005-0000-0000-000039540000}"/>
    <cellStyle name="Normal 2 9 3 2" xfId="20924" xr:uid="{00000000-0005-0000-0000-00003A540000}"/>
    <cellStyle name="Normal 2 9 4" xfId="20925" xr:uid="{00000000-0005-0000-0000-00003B540000}"/>
    <cellStyle name="Normal 2 9 4 2" xfId="20926" xr:uid="{00000000-0005-0000-0000-00003C540000}"/>
    <cellStyle name="Normal 20" xfId="1015" xr:uid="{00000000-0005-0000-0000-00003D540000}"/>
    <cellStyle name="Normal 20 10" xfId="20928" xr:uid="{00000000-0005-0000-0000-00003E540000}"/>
    <cellStyle name="Normal 20 11" xfId="20927" xr:uid="{00000000-0005-0000-0000-00003F540000}"/>
    <cellStyle name="Normal 20 2" xfId="3875" xr:uid="{00000000-0005-0000-0000-000040540000}"/>
    <cellStyle name="Normal 20 2 2" xfId="20930" xr:uid="{00000000-0005-0000-0000-000041540000}"/>
    <cellStyle name="Normal 20 2 3" xfId="20929" xr:uid="{00000000-0005-0000-0000-000042540000}"/>
    <cellStyle name="Normal 20 3" xfId="20931" xr:uid="{00000000-0005-0000-0000-000043540000}"/>
    <cellStyle name="Normal 20 3 2" xfId="20932" xr:uid="{00000000-0005-0000-0000-000044540000}"/>
    <cellStyle name="Normal 20 4" xfId="20933" xr:uid="{00000000-0005-0000-0000-000045540000}"/>
    <cellStyle name="Normal 20 4 2" xfId="20934" xr:uid="{00000000-0005-0000-0000-000046540000}"/>
    <cellStyle name="Normal 20 5" xfId="20935" xr:uid="{00000000-0005-0000-0000-000047540000}"/>
    <cellStyle name="Normal 20 5 2" xfId="20936" xr:uid="{00000000-0005-0000-0000-000048540000}"/>
    <cellStyle name="Normal 20 6" xfId="20937" xr:uid="{00000000-0005-0000-0000-000049540000}"/>
    <cellStyle name="Normal 20 6 2" xfId="20938" xr:uid="{00000000-0005-0000-0000-00004A540000}"/>
    <cellStyle name="Normal 20 7" xfId="20939" xr:uid="{00000000-0005-0000-0000-00004B540000}"/>
    <cellStyle name="Normal 20 7 2" xfId="20940" xr:uid="{00000000-0005-0000-0000-00004C540000}"/>
    <cellStyle name="Normal 20 8" xfId="20941" xr:uid="{00000000-0005-0000-0000-00004D540000}"/>
    <cellStyle name="Normal 20 8 2" xfId="20942" xr:uid="{00000000-0005-0000-0000-00004E540000}"/>
    <cellStyle name="Normal 20 9" xfId="20943" xr:uid="{00000000-0005-0000-0000-00004F540000}"/>
    <cellStyle name="Normal 20 9 2" xfId="20944" xr:uid="{00000000-0005-0000-0000-000050540000}"/>
    <cellStyle name="Normal 21" xfId="3816" xr:uid="{00000000-0005-0000-0000-000051540000}"/>
    <cellStyle name="Normal 21 10" xfId="20946" xr:uid="{00000000-0005-0000-0000-000052540000}"/>
    <cellStyle name="Normal 21 11" xfId="20945" xr:uid="{00000000-0005-0000-0000-000053540000}"/>
    <cellStyle name="Normal 21 2" xfId="20947" xr:uid="{00000000-0005-0000-0000-000054540000}"/>
    <cellStyle name="Normal 21 2 2" xfId="20948" xr:uid="{00000000-0005-0000-0000-000055540000}"/>
    <cellStyle name="Normal 21 3" xfId="20949" xr:uid="{00000000-0005-0000-0000-000056540000}"/>
    <cellStyle name="Normal 21 3 2" xfId="20950" xr:uid="{00000000-0005-0000-0000-000057540000}"/>
    <cellStyle name="Normal 21 4" xfId="20951" xr:uid="{00000000-0005-0000-0000-000058540000}"/>
    <cellStyle name="Normal 21 4 2" xfId="20952" xr:uid="{00000000-0005-0000-0000-000059540000}"/>
    <cellStyle name="Normal 21 5" xfId="20953" xr:uid="{00000000-0005-0000-0000-00005A540000}"/>
    <cellStyle name="Normal 21 5 2" xfId="20954" xr:uid="{00000000-0005-0000-0000-00005B540000}"/>
    <cellStyle name="Normal 21 6" xfId="20955" xr:uid="{00000000-0005-0000-0000-00005C540000}"/>
    <cellStyle name="Normal 21 6 2" xfId="20956" xr:uid="{00000000-0005-0000-0000-00005D540000}"/>
    <cellStyle name="Normal 21 7" xfId="20957" xr:uid="{00000000-0005-0000-0000-00005E540000}"/>
    <cellStyle name="Normal 21 7 2" xfId="20958" xr:uid="{00000000-0005-0000-0000-00005F540000}"/>
    <cellStyle name="Normal 21 8" xfId="20959" xr:uid="{00000000-0005-0000-0000-000060540000}"/>
    <cellStyle name="Normal 21 8 2" xfId="20960" xr:uid="{00000000-0005-0000-0000-000061540000}"/>
    <cellStyle name="Normal 21 9" xfId="20961" xr:uid="{00000000-0005-0000-0000-000062540000}"/>
    <cellStyle name="Normal 21 9 2" xfId="20962" xr:uid="{00000000-0005-0000-0000-000063540000}"/>
    <cellStyle name="Normal 22" xfId="1017" xr:uid="{00000000-0005-0000-0000-000064540000}"/>
    <cellStyle name="Normal 22 2" xfId="3877" xr:uid="{00000000-0005-0000-0000-000065540000}"/>
    <cellStyle name="Normal 22 2 2" xfId="20964" xr:uid="{00000000-0005-0000-0000-000066540000}"/>
    <cellStyle name="Normal 22 3" xfId="20963" xr:uid="{00000000-0005-0000-0000-000067540000}"/>
    <cellStyle name="Normal 23" xfId="4872" xr:uid="{00000000-0005-0000-0000-000068540000}"/>
    <cellStyle name="Normal 23 2" xfId="20966" xr:uid="{00000000-0005-0000-0000-000069540000}"/>
    <cellStyle name="Normal 23 3" xfId="20965" xr:uid="{00000000-0005-0000-0000-00006A540000}"/>
    <cellStyle name="Normal 24" xfId="1018" xr:uid="{00000000-0005-0000-0000-00006B540000}"/>
    <cellStyle name="Normal 24 2" xfId="3878" xr:uid="{00000000-0005-0000-0000-00006C540000}"/>
    <cellStyle name="Normal 24 2 2" xfId="20969" xr:uid="{00000000-0005-0000-0000-00006D540000}"/>
    <cellStyle name="Normal 24 2 3" xfId="20968" xr:uid="{00000000-0005-0000-0000-00006E540000}"/>
    <cellStyle name="Normal 24 3" xfId="20970" xr:uid="{00000000-0005-0000-0000-00006F540000}"/>
    <cellStyle name="Normal 24 3 2" xfId="20971" xr:uid="{00000000-0005-0000-0000-000070540000}"/>
    <cellStyle name="Normal 24 4" xfId="20972" xr:uid="{00000000-0005-0000-0000-000071540000}"/>
    <cellStyle name="Normal 24 4 2" xfId="20973" xr:uid="{00000000-0005-0000-0000-000072540000}"/>
    <cellStyle name="Normal 24 5" xfId="20974" xr:uid="{00000000-0005-0000-0000-000073540000}"/>
    <cellStyle name="Normal 24 6" xfId="20967" xr:uid="{00000000-0005-0000-0000-000074540000}"/>
    <cellStyle name="Normal 25" xfId="4873" xr:uid="{00000000-0005-0000-0000-000075540000}"/>
    <cellStyle name="Normal 25 2" xfId="20976" xr:uid="{00000000-0005-0000-0000-000076540000}"/>
    <cellStyle name="Normal 25 3" xfId="20975" xr:uid="{00000000-0005-0000-0000-000077540000}"/>
    <cellStyle name="Normal 26" xfId="1019" xr:uid="{00000000-0005-0000-0000-000078540000}"/>
    <cellStyle name="Normal 26 2" xfId="3880" xr:uid="{00000000-0005-0000-0000-000079540000}"/>
    <cellStyle name="Normal 26 2 2" xfId="20979" xr:uid="{00000000-0005-0000-0000-00007A540000}"/>
    <cellStyle name="Normal 26 2 3" xfId="20978" xr:uid="{00000000-0005-0000-0000-00007B540000}"/>
    <cellStyle name="Normal 26 3" xfId="20980" xr:uid="{00000000-0005-0000-0000-00007C540000}"/>
    <cellStyle name="Normal 26 4" xfId="20977" xr:uid="{00000000-0005-0000-0000-00007D540000}"/>
    <cellStyle name="Normal 27" xfId="7098" xr:uid="{00000000-0005-0000-0000-00007E540000}"/>
    <cellStyle name="Normal 27 2" xfId="20982" xr:uid="{00000000-0005-0000-0000-00007F540000}"/>
    <cellStyle name="Normal 27 3" xfId="20981" xr:uid="{00000000-0005-0000-0000-000080540000}"/>
    <cellStyle name="Normal 27 4" xfId="7116" xr:uid="{00000000-0005-0000-0000-000081540000}"/>
    <cellStyle name="Normal 28" xfId="1020" xr:uid="{00000000-0005-0000-0000-000082540000}"/>
    <cellStyle name="Normal 28 2" xfId="3882" xr:uid="{00000000-0005-0000-0000-000083540000}"/>
    <cellStyle name="Normal 29" xfId="7100" xr:uid="{00000000-0005-0000-0000-000084540000}"/>
    <cellStyle name="Normal 29 2" xfId="26914" xr:uid="{00000000-0005-0000-0000-000085540000}"/>
    <cellStyle name="Normal 3" xfId="9" xr:uid="{00000000-0005-0000-0000-000086540000}"/>
    <cellStyle name="Normal 3 2" xfId="10" xr:uid="{00000000-0005-0000-0000-000087540000}"/>
    <cellStyle name="Normal 3 2 2" xfId="4142" xr:uid="{00000000-0005-0000-0000-000088540000}"/>
    <cellStyle name="Normal 3 2 2 10" xfId="26916" xr:uid="{00000000-0005-0000-0000-000089540000}"/>
    <cellStyle name="Normal 3 2 2 2" xfId="4875" xr:uid="{00000000-0005-0000-0000-00008A540000}"/>
    <cellStyle name="Normal 3 2 2 2 2" xfId="5450" xr:uid="{00000000-0005-0000-0000-00008B540000}"/>
    <cellStyle name="Normal 3 2 2 2 2 2" xfId="6504" xr:uid="{00000000-0005-0000-0000-00008C540000}"/>
    <cellStyle name="Normal 3 2 2 2 2 2 2" xfId="20986" xr:uid="{00000000-0005-0000-0000-00008D540000}"/>
    <cellStyle name="Normal 3 2 2 2 2 2 3" xfId="26919" xr:uid="{00000000-0005-0000-0000-00008E540000}"/>
    <cellStyle name="Normal 3 2 2 2 2 3" xfId="20985" xr:uid="{00000000-0005-0000-0000-00008F540000}"/>
    <cellStyle name="Normal 3 2 2 2 2 4" xfId="26918" xr:uid="{00000000-0005-0000-0000-000090540000}"/>
    <cellStyle name="Normal 3 2 2 2 3" xfId="5760" xr:uid="{00000000-0005-0000-0000-000091540000}"/>
    <cellStyle name="Normal 3 2 2 2 3 2" xfId="6505" xr:uid="{00000000-0005-0000-0000-000092540000}"/>
    <cellStyle name="Normal 3 2 2 2 3 2 2" xfId="20988" xr:uid="{00000000-0005-0000-0000-000093540000}"/>
    <cellStyle name="Normal 3 2 2 2 3 2 3" xfId="26921" xr:uid="{00000000-0005-0000-0000-000094540000}"/>
    <cellStyle name="Normal 3 2 2 2 3 3" xfId="20987" xr:uid="{00000000-0005-0000-0000-000095540000}"/>
    <cellStyle name="Normal 3 2 2 2 3 4" xfId="26920" xr:uid="{00000000-0005-0000-0000-000096540000}"/>
    <cellStyle name="Normal 3 2 2 2 4" xfId="6503" xr:uid="{00000000-0005-0000-0000-000097540000}"/>
    <cellStyle name="Normal 3 2 2 2 4 2" xfId="20989" xr:uid="{00000000-0005-0000-0000-000098540000}"/>
    <cellStyle name="Normal 3 2 2 2 4 3" xfId="26922" xr:uid="{00000000-0005-0000-0000-000099540000}"/>
    <cellStyle name="Normal 3 2 2 2 5" xfId="20984" xr:uid="{00000000-0005-0000-0000-00009A540000}"/>
    <cellStyle name="Normal 3 2 2 2 6" xfId="26917" xr:uid="{00000000-0005-0000-0000-00009B540000}"/>
    <cellStyle name="Normal 3 2 2 3" xfId="5449" xr:uid="{00000000-0005-0000-0000-00009C540000}"/>
    <cellStyle name="Normal 3 2 2 3 2" xfId="6506" xr:uid="{00000000-0005-0000-0000-00009D540000}"/>
    <cellStyle name="Normal 3 2 2 3 2 2" xfId="20991" xr:uid="{00000000-0005-0000-0000-00009E540000}"/>
    <cellStyle name="Normal 3 2 2 3 2 3" xfId="26924" xr:uid="{00000000-0005-0000-0000-00009F540000}"/>
    <cellStyle name="Normal 3 2 2 3 3" xfId="20990" xr:uid="{00000000-0005-0000-0000-0000A0540000}"/>
    <cellStyle name="Normal 3 2 2 3 4" xfId="26923" xr:uid="{00000000-0005-0000-0000-0000A1540000}"/>
    <cellStyle name="Normal 3 2 2 4" xfId="5759" xr:uid="{00000000-0005-0000-0000-0000A2540000}"/>
    <cellStyle name="Normal 3 2 2 4 2" xfId="6507" xr:uid="{00000000-0005-0000-0000-0000A3540000}"/>
    <cellStyle name="Normal 3 2 2 4 2 2" xfId="20993" xr:uid="{00000000-0005-0000-0000-0000A4540000}"/>
    <cellStyle name="Normal 3 2 2 4 2 3" xfId="26926" xr:uid="{00000000-0005-0000-0000-0000A5540000}"/>
    <cellStyle name="Normal 3 2 2 4 3" xfId="20992" xr:uid="{00000000-0005-0000-0000-0000A6540000}"/>
    <cellStyle name="Normal 3 2 2 4 4" xfId="26925" xr:uid="{00000000-0005-0000-0000-0000A7540000}"/>
    <cellStyle name="Normal 3 2 2 5" xfId="4874" xr:uid="{00000000-0005-0000-0000-0000A8540000}"/>
    <cellStyle name="Normal 3 2 2 5 2" xfId="6508" xr:uid="{00000000-0005-0000-0000-0000A9540000}"/>
    <cellStyle name="Normal 3 2 2 5 2 2" xfId="26928" xr:uid="{00000000-0005-0000-0000-0000AA540000}"/>
    <cellStyle name="Normal 3 2 2 5 3" xfId="20994" xr:uid="{00000000-0005-0000-0000-0000AB540000}"/>
    <cellStyle name="Normal 3 2 2 5 4" xfId="26927" xr:uid="{00000000-0005-0000-0000-0000AC540000}"/>
    <cellStyle name="Normal 3 2 2 6" xfId="6502" xr:uid="{00000000-0005-0000-0000-0000AD540000}"/>
    <cellStyle name="Normal 3 2 2 6 2" xfId="26929" xr:uid="{00000000-0005-0000-0000-0000AE540000}"/>
    <cellStyle name="Normal 3 2 2 7" xfId="20983" xr:uid="{00000000-0005-0000-0000-0000AF540000}"/>
    <cellStyle name="Normal 3 2 2 8" xfId="24799" xr:uid="{00000000-0005-0000-0000-0000B0540000}"/>
    <cellStyle name="Normal 3 2 2 8 2" xfId="26930" xr:uid="{00000000-0005-0000-0000-0000B1540000}"/>
    <cellStyle name="Normal 3 2 2 9" xfId="24994" xr:uid="{00000000-0005-0000-0000-0000B2540000}"/>
    <cellStyle name="Normal 3 2 3" xfId="1275" xr:uid="{00000000-0005-0000-0000-0000B3540000}"/>
    <cellStyle name="Normal 3 2 3 2" xfId="5451" xr:uid="{00000000-0005-0000-0000-0000B4540000}"/>
    <cellStyle name="Normal 3 2 3 2 2" xfId="6510" xr:uid="{00000000-0005-0000-0000-0000B5540000}"/>
    <cellStyle name="Normal 3 2 3 2 2 2" xfId="26933" xr:uid="{00000000-0005-0000-0000-0000B6540000}"/>
    <cellStyle name="Normal 3 2 3 2 3" xfId="20996" xr:uid="{00000000-0005-0000-0000-0000B7540000}"/>
    <cellStyle name="Normal 3 2 3 2 4" xfId="26932" xr:uid="{00000000-0005-0000-0000-0000B8540000}"/>
    <cellStyle name="Normal 3 2 3 3" xfId="5761" xr:uid="{00000000-0005-0000-0000-0000B9540000}"/>
    <cellStyle name="Normal 3 2 3 3 2" xfId="6511" xr:uid="{00000000-0005-0000-0000-0000BA540000}"/>
    <cellStyle name="Normal 3 2 3 3 2 2" xfId="26935" xr:uid="{00000000-0005-0000-0000-0000BB540000}"/>
    <cellStyle name="Normal 3 2 3 3 3" xfId="26934" xr:uid="{00000000-0005-0000-0000-0000BC540000}"/>
    <cellStyle name="Normal 3 2 3 4" xfId="4876" xr:uid="{00000000-0005-0000-0000-0000BD540000}"/>
    <cellStyle name="Normal 3 2 3 4 2" xfId="6512" xr:uid="{00000000-0005-0000-0000-0000BE540000}"/>
    <cellStyle name="Normal 3 2 3 4 2 2" xfId="26937" xr:uid="{00000000-0005-0000-0000-0000BF540000}"/>
    <cellStyle name="Normal 3 2 3 4 3" xfId="26936" xr:uid="{00000000-0005-0000-0000-0000C0540000}"/>
    <cellStyle name="Normal 3 2 3 5" xfId="6509" xr:uid="{00000000-0005-0000-0000-0000C1540000}"/>
    <cellStyle name="Normal 3 2 3 5 2" xfId="26938" xr:uid="{00000000-0005-0000-0000-0000C2540000}"/>
    <cellStyle name="Normal 3 2 3 6" xfId="20995" xr:uid="{00000000-0005-0000-0000-0000C3540000}"/>
    <cellStyle name="Normal 3 2 3 7" xfId="24800" xr:uid="{00000000-0005-0000-0000-0000C4540000}"/>
    <cellStyle name="Normal 3 2 3 7 2" xfId="26939" xr:uid="{00000000-0005-0000-0000-0000C5540000}"/>
    <cellStyle name="Normal 3 2 3 8" xfId="26931" xr:uid="{00000000-0005-0000-0000-0000C6540000}"/>
    <cellStyle name="Normal 3 2 4" xfId="4877" xr:uid="{00000000-0005-0000-0000-0000C7540000}"/>
    <cellStyle name="Normal 3 2 4 2" xfId="6513" xr:uid="{00000000-0005-0000-0000-0000C8540000}"/>
    <cellStyle name="Normal 3 2 4 2 2" xfId="20999" xr:uid="{00000000-0005-0000-0000-0000C9540000}"/>
    <cellStyle name="Normal 3 2 4 2 3" xfId="20998" xr:uid="{00000000-0005-0000-0000-0000CA540000}"/>
    <cellStyle name="Normal 3 2 4 2 4" xfId="26941" xr:uid="{00000000-0005-0000-0000-0000CB540000}"/>
    <cellStyle name="Normal 3 2 4 3" xfId="21000" xr:uid="{00000000-0005-0000-0000-0000CC540000}"/>
    <cellStyle name="Normal 3 2 4 4" xfId="20997" xr:uid="{00000000-0005-0000-0000-0000CD540000}"/>
    <cellStyle name="Normal 3 2 4 5" xfId="24801" xr:uid="{00000000-0005-0000-0000-0000CE540000}"/>
    <cellStyle name="Normal 3 2 4 5 2" xfId="26942" xr:uid="{00000000-0005-0000-0000-0000CF540000}"/>
    <cellStyle name="Normal 3 2 4 6" xfId="26940" xr:uid="{00000000-0005-0000-0000-0000D0540000}"/>
    <cellStyle name="Normal 3 2 5" xfId="5448" xr:uid="{00000000-0005-0000-0000-0000D1540000}"/>
    <cellStyle name="Normal 3 2 5 2" xfId="6514" xr:uid="{00000000-0005-0000-0000-0000D2540000}"/>
    <cellStyle name="Normal 3 2 5 2 2" xfId="21003" xr:uid="{00000000-0005-0000-0000-0000D3540000}"/>
    <cellStyle name="Normal 3 2 5 2 3" xfId="21002" xr:uid="{00000000-0005-0000-0000-0000D4540000}"/>
    <cellStyle name="Normal 3 2 5 2 4" xfId="26944" xr:uid="{00000000-0005-0000-0000-0000D5540000}"/>
    <cellStyle name="Normal 3 2 5 3" xfId="21004" xr:uid="{00000000-0005-0000-0000-0000D6540000}"/>
    <cellStyle name="Normal 3 2 5 4" xfId="21001" xr:uid="{00000000-0005-0000-0000-0000D7540000}"/>
    <cellStyle name="Normal 3 2 5 5" xfId="26943" xr:uid="{00000000-0005-0000-0000-0000D8540000}"/>
    <cellStyle name="Normal 3 2 6" xfId="5758" xr:uid="{00000000-0005-0000-0000-0000D9540000}"/>
    <cellStyle name="Normal 3 2 6 2" xfId="6515" xr:uid="{00000000-0005-0000-0000-0000DA540000}"/>
    <cellStyle name="Normal 3 2 6 2 2" xfId="21006" xr:uid="{00000000-0005-0000-0000-0000DB540000}"/>
    <cellStyle name="Normal 3 2 6 2 3" xfId="26946" xr:uid="{00000000-0005-0000-0000-0000DC540000}"/>
    <cellStyle name="Normal 3 2 6 3" xfId="21005" xr:uid="{00000000-0005-0000-0000-0000DD540000}"/>
    <cellStyle name="Normal 3 2 6 4" xfId="26945" xr:uid="{00000000-0005-0000-0000-0000DE540000}"/>
    <cellStyle name="Normal 3 2 7" xfId="21007" xr:uid="{00000000-0005-0000-0000-0000DF540000}"/>
    <cellStyle name="Normal 3 2 7 2" xfId="21008" xr:uid="{00000000-0005-0000-0000-0000E0540000}"/>
    <cellStyle name="Normal 3 2 8" xfId="24505" xr:uid="{00000000-0005-0000-0000-0000E1540000}"/>
    <cellStyle name="Normal 3 2 8 2" xfId="26947" xr:uid="{00000000-0005-0000-0000-0000E2540000}"/>
    <cellStyle name="Normal 3 2 9" xfId="24874" xr:uid="{00000000-0005-0000-0000-0000E3540000}"/>
    <cellStyle name="Normal 3 3" xfId="60" xr:uid="{00000000-0005-0000-0000-0000E4540000}"/>
    <cellStyle name="Normal 3 3 2" xfId="21009" xr:uid="{00000000-0005-0000-0000-0000E5540000}"/>
    <cellStyle name="Normal 3 3 2 2" xfId="21010" xr:uid="{00000000-0005-0000-0000-0000E6540000}"/>
    <cellStyle name="Normal 3 3 2 3" xfId="24802" xr:uid="{00000000-0005-0000-0000-0000E7540000}"/>
    <cellStyle name="Normal 3 3 3" xfId="24803" xr:uid="{00000000-0005-0000-0000-0000E8540000}"/>
    <cellStyle name="Normal 3 3 3 2" xfId="26948" xr:uid="{00000000-0005-0000-0000-0000E9540000}"/>
    <cellStyle name="Normal 3 3 4" xfId="24541" xr:uid="{00000000-0005-0000-0000-0000EA540000}"/>
    <cellStyle name="Normal 3 4" xfId="66" xr:uid="{00000000-0005-0000-0000-0000EB540000}"/>
    <cellStyle name="Normal 3 4 2" xfId="3859" xr:uid="{00000000-0005-0000-0000-0000EC540000}"/>
    <cellStyle name="Normal 3 4 2 2" xfId="21013" xr:uid="{00000000-0005-0000-0000-0000ED540000}"/>
    <cellStyle name="Normal 3 4 2 2 2" xfId="21014" xr:uid="{00000000-0005-0000-0000-0000EE540000}"/>
    <cellStyle name="Normal 3 4 2 3" xfId="21015" xr:uid="{00000000-0005-0000-0000-0000EF540000}"/>
    <cellStyle name="Normal 3 4 2 3 2" xfId="21016" xr:uid="{00000000-0005-0000-0000-0000F0540000}"/>
    <cellStyle name="Normal 3 4 2 4" xfId="21017" xr:uid="{00000000-0005-0000-0000-0000F1540000}"/>
    <cellStyle name="Normal 3 4 2 5" xfId="21012" xr:uid="{00000000-0005-0000-0000-0000F2540000}"/>
    <cellStyle name="Normal 3 4 3" xfId="6516" xr:uid="{00000000-0005-0000-0000-0000F3540000}"/>
    <cellStyle name="Normal 3 4 3 2" xfId="21019" xr:uid="{00000000-0005-0000-0000-0000F4540000}"/>
    <cellStyle name="Normal 3 4 3 3" xfId="21018" xr:uid="{00000000-0005-0000-0000-0000F5540000}"/>
    <cellStyle name="Normal 3 4 3 4" xfId="26950" xr:uid="{00000000-0005-0000-0000-0000F6540000}"/>
    <cellStyle name="Normal 3 4 4" xfId="21020" xr:uid="{00000000-0005-0000-0000-0000F7540000}"/>
    <cellStyle name="Normal 3 4 4 2" xfId="21021" xr:uid="{00000000-0005-0000-0000-0000F8540000}"/>
    <cellStyle name="Normal 3 4 5" xfId="21022" xr:uid="{00000000-0005-0000-0000-0000F9540000}"/>
    <cellStyle name="Normal 3 4 6" xfId="21011" xr:uid="{00000000-0005-0000-0000-0000FA540000}"/>
    <cellStyle name="Normal 3 4 7" xfId="24570" xr:uid="{00000000-0005-0000-0000-0000FB540000}"/>
    <cellStyle name="Normal 3 4 7 2" xfId="26951" xr:uid="{00000000-0005-0000-0000-0000FC540000}"/>
    <cellStyle name="Normal 3 4 8" xfId="26949" xr:uid="{00000000-0005-0000-0000-0000FD540000}"/>
    <cellStyle name="Normal 3 5" xfId="1002" xr:uid="{00000000-0005-0000-0000-0000FE540000}"/>
    <cellStyle name="Normal 3 5 2" xfId="21023" xr:uid="{00000000-0005-0000-0000-0000FF540000}"/>
    <cellStyle name="Normal 3 5 3" xfId="24804" xr:uid="{00000000-0005-0000-0000-000000550000}"/>
    <cellStyle name="Normal 3 5 3 2" xfId="26952" xr:uid="{00000000-0005-0000-0000-000001550000}"/>
    <cellStyle name="Normal 3 6" xfId="6501" xr:uid="{00000000-0005-0000-0000-000002550000}"/>
    <cellStyle name="Normal 3 6 2" xfId="21025" xr:uid="{00000000-0005-0000-0000-000003550000}"/>
    <cellStyle name="Normal 3 6 2 2" xfId="21026" xr:uid="{00000000-0005-0000-0000-000004550000}"/>
    <cellStyle name="Normal 3 6 2 2 2" xfId="21027" xr:uid="{00000000-0005-0000-0000-000005550000}"/>
    <cellStyle name="Normal 3 6 2 3" xfId="21028" xr:uid="{00000000-0005-0000-0000-000006550000}"/>
    <cellStyle name="Normal 3 6 2 3 2" xfId="21029" xr:uid="{00000000-0005-0000-0000-000007550000}"/>
    <cellStyle name="Normal 3 6 2 4" xfId="21030" xr:uid="{00000000-0005-0000-0000-000008550000}"/>
    <cellStyle name="Normal 3 6 3" xfId="21031" xr:uid="{00000000-0005-0000-0000-000009550000}"/>
    <cellStyle name="Normal 3 6 3 2" xfId="21032" xr:uid="{00000000-0005-0000-0000-00000A550000}"/>
    <cellStyle name="Normal 3 6 4" xfId="21033" xr:uid="{00000000-0005-0000-0000-00000B550000}"/>
    <cellStyle name="Normal 3 6 4 2" xfId="21034" xr:uid="{00000000-0005-0000-0000-00000C550000}"/>
    <cellStyle name="Normal 3 6 5" xfId="21035" xr:uid="{00000000-0005-0000-0000-00000D550000}"/>
    <cellStyle name="Normal 3 6 6" xfId="21024" xr:uid="{00000000-0005-0000-0000-00000E550000}"/>
    <cellStyle name="Normal 3 6 7" xfId="26953" xr:uid="{00000000-0005-0000-0000-00000F550000}"/>
    <cellStyle name="Normal 3 7" xfId="24464" xr:uid="{00000000-0005-0000-0000-000010550000}"/>
    <cellStyle name="Normal 3 7 2" xfId="28689" xr:uid="{00000000-0005-0000-0000-000011550000}"/>
    <cellStyle name="Normal 3 8" xfId="26915" xr:uid="{00000000-0005-0000-0000-000012550000}"/>
    <cellStyle name="Normal 30" xfId="1021" xr:uid="{00000000-0005-0000-0000-000013550000}"/>
    <cellStyle name="Normal 30 2" xfId="3884" xr:uid="{00000000-0005-0000-0000-000014550000}"/>
    <cellStyle name="Normal 30 2 2" xfId="21037" xr:uid="{00000000-0005-0000-0000-000015550000}"/>
    <cellStyle name="Normal 30 3" xfId="21036" xr:uid="{00000000-0005-0000-0000-000016550000}"/>
    <cellStyle name="Normal 31" xfId="7113" xr:uid="{00000000-0005-0000-0000-000017550000}"/>
    <cellStyle name="Normal 31 2" xfId="26954" xr:uid="{00000000-0005-0000-0000-000018550000}"/>
    <cellStyle name="Normal 32" xfId="1023" xr:uid="{00000000-0005-0000-0000-000019550000}"/>
    <cellStyle name="Normal 32 2" xfId="3886" xr:uid="{00000000-0005-0000-0000-00001A550000}"/>
    <cellStyle name="Normal 33" xfId="24465" xr:uid="{00000000-0005-0000-0000-00001B550000}"/>
    <cellStyle name="Normal 34" xfId="1025" xr:uid="{00000000-0005-0000-0000-00001C550000}"/>
    <cellStyle name="Normal 34 2" xfId="3888" xr:uid="{00000000-0005-0000-0000-00001D550000}"/>
    <cellStyle name="Normal 35" xfId="24829" xr:uid="{00000000-0005-0000-0000-00001E550000}"/>
    <cellStyle name="Normal 36" xfId="1027" xr:uid="{00000000-0005-0000-0000-00001F550000}"/>
    <cellStyle name="Normal 36 2" xfId="3890" xr:uid="{00000000-0005-0000-0000-000020550000}"/>
    <cellStyle name="Normal 37" xfId="28137" xr:uid="{00000000-0005-0000-0000-000021550000}"/>
    <cellStyle name="Normal 38" xfId="1029" xr:uid="{00000000-0005-0000-0000-000022550000}"/>
    <cellStyle name="Normal 38 2" xfId="3892" xr:uid="{00000000-0005-0000-0000-000023550000}"/>
    <cellStyle name="Normal 39" xfId="28138" xr:uid="{00000000-0005-0000-0000-000024550000}"/>
    <cellStyle name="Normal 4" xfId="11" xr:uid="{00000000-0005-0000-0000-000025550000}"/>
    <cellStyle name="Normal 4 10" xfId="1108" xr:uid="{00000000-0005-0000-0000-000026550000}"/>
    <cellStyle name="Normal 4 10 10" xfId="21038" xr:uid="{00000000-0005-0000-0000-000027550000}"/>
    <cellStyle name="Normal 4 10 2" xfId="3672" xr:uid="{00000000-0005-0000-0000-000028550000}"/>
    <cellStyle name="Normal 4 10 2 2" xfId="4203" xr:uid="{00000000-0005-0000-0000-000029550000}"/>
    <cellStyle name="Normal 4 10 2 2 2" xfId="5454" xr:uid="{00000000-0005-0000-0000-00002A550000}"/>
    <cellStyle name="Normal 4 10 2 2 2 2" xfId="6519" xr:uid="{00000000-0005-0000-0000-00002B550000}"/>
    <cellStyle name="Normal 4 10 2 2 2 2 2" xfId="21042" xr:uid="{00000000-0005-0000-0000-00002C550000}"/>
    <cellStyle name="Normal 4 10 2 2 2 2 3" xfId="26958" xr:uid="{00000000-0005-0000-0000-00002D550000}"/>
    <cellStyle name="Normal 4 10 2 2 2 3" xfId="21041" xr:uid="{00000000-0005-0000-0000-00002E550000}"/>
    <cellStyle name="Normal 4 10 2 2 2 4" xfId="26957" xr:uid="{00000000-0005-0000-0000-00002F550000}"/>
    <cellStyle name="Normal 4 10 2 2 3" xfId="5764" xr:uid="{00000000-0005-0000-0000-000030550000}"/>
    <cellStyle name="Normal 4 10 2 2 3 2" xfId="6520" xr:uid="{00000000-0005-0000-0000-000031550000}"/>
    <cellStyle name="Normal 4 10 2 2 3 2 2" xfId="26960" xr:uid="{00000000-0005-0000-0000-000032550000}"/>
    <cellStyle name="Normal 4 10 2 2 3 3" xfId="21043" xr:uid="{00000000-0005-0000-0000-000033550000}"/>
    <cellStyle name="Normal 4 10 2 2 3 4" xfId="26959" xr:uid="{00000000-0005-0000-0000-000034550000}"/>
    <cellStyle name="Normal 4 10 2 2 4" xfId="4880" xr:uid="{00000000-0005-0000-0000-000035550000}"/>
    <cellStyle name="Normal 4 10 2 2 4 2" xfId="6521" xr:uid="{00000000-0005-0000-0000-000036550000}"/>
    <cellStyle name="Normal 4 10 2 2 4 2 2" xfId="26962" xr:uid="{00000000-0005-0000-0000-000037550000}"/>
    <cellStyle name="Normal 4 10 2 2 4 3" xfId="26961" xr:uid="{00000000-0005-0000-0000-000038550000}"/>
    <cellStyle name="Normal 4 10 2 2 5" xfId="6518" xr:uid="{00000000-0005-0000-0000-000039550000}"/>
    <cellStyle name="Normal 4 10 2 2 5 2" xfId="26963" xr:uid="{00000000-0005-0000-0000-00003A550000}"/>
    <cellStyle name="Normal 4 10 2 2 6" xfId="21040" xr:uid="{00000000-0005-0000-0000-00003B550000}"/>
    <cellStyle name="Normal 4 10 2 2 7" xfId="25055" xr:uid="{00000000-0005-0000-0000-00003C550000}"/>
    <cellStyle name="Normal 4 10 2 2 8" xfId="26956" xr:uid="{00000000-0005-0000-0000-00003D550000}"/>
    <cellStyle name="Normal 4 10 2 3" xfId="5453" xr:uid="{00000000-0005-0000-0000-00003E550000}"/>
    <cellStyle name="Normal 4 10 2 3 2" xfId="6522" xr:uid="{00000000-0005-0000-0000-00003F550000}"/>
    <cellStyle name="Normal 4 10 2 3 2 2" xfId="21046" xr:uid="{00000000-0005-0000-0000-000040550000}"/>
    <cellStyle name="Normal 4 10 2 3 2 3" xfId="21045" xr:uid="{00000000-0005-0000-0000-000041550000}"/>
    <cellStyle name="Normal 4 10 2 3 2 4" xfId="26965" xr:uid="{00000000-0005-0000-0000-000042550000}"/>
    <cellStyle name="Normal 4 10 2 3 3" xfId="21047" xr:uid="{00000000-0005-0000-0000-000043550000}"/>
    <cellStyle name="Normal 4 10 2 3 3 2" xfId="21048" xr:uid="{00000000-0005-0000-0000-000044550000}"/>
    <cellStyle name="Normal 4 10 2 3 4" xfId="21049" xr:uid="{00000000-0005-0000-0000-000045550000}"/>
    <cellStyle name="Normal 4 10 2 3 5" xfId="21044" xr:uid="{00000000-0005-0000-0000-000046550000}"/>
    <cellStyle name="Normal 4 10 2 3 6" xfId="26964" xr:uid="{00000000-0005-0000-0000-000047550000}"/>
    <cellStyle name="Normal 4 10 2 4" xfId="5763" xr:uid="{00000000-0005-0000-0000-000048550000}"/>
    <cellStyle name="Normal 4 10 2 4 2" xfId="6523" xr:uid="{00000000-0005-0000-0000-000049550000}"/>
    <cellStyle name="Normal 4 10 2 4 2 2" xfId="21051" xr:uid="{00000000-0005-0000-0000-00004A550000}"/>
    <cellStyle name="Normal 4 10 2 4 2 3" xfId="26967" xr:uid="{00000000-0005-0000-0000-00004B550000}"/>
    <cellStyle name="Normal 4 10 2 4 3" xfId="21050" xr:uid="{00000000-0005-0000-0000-00004C550000}"/>
    <cellStyle name="Normal 4 10 2 4 4" xfId="26966" xr:uid="{00000000-0005-0000-0000-00004D550000}"/>
    <cellStyle name="Normal 4 10 2 5" xfId="4879" xr:uid="{00000000-0005-0000-0000-00004E550000}"/>
    <cellStyle name="Normal 4 10 2 5 2" xfId="6524" xr:uid="{00000000-0005-0000-0000-00004F550000}"/>
    <cellStyle name="Normal 4 10 2 5 2 2" xfId="21053" xr:uid="{00000000-0005-0000-0000-000050550000}"/>
    <cellStyle name="Normal 4 10 2 5 2 3" xfId="26969" xr:uid="{00000000-0005-0000-0000-000051550000}"/>
    <cellStyle name="Normal 4 10 2 5 3" xfId="21052" xr:uid="{00000000-0005-0000-0000-000052550000}"/>
    <cellStyle name="Normal 4 10 2 5 4" xfId="26968" xr:uid="{00000000-0005-0000-0000-000053550000}"/>
    <cellStyle name="Normal 4 10 2 6" xfId="6517" xr:uid="{00000000-0005-0000-0000-000054550000}"/>
    <cellStyle name="Normal 4 10 2 6 2" xfId="21054" xr:uid="{00000000-0005-0000-0000-000055550000}"/>
    <cellStyle name="Normal 4 10 2 6 3" xfId="26970" xr:uid="{00000000-0005-0000-0000-000056550000}"/>
    <cellStyle name="Normal 4 10 2 7" xfId="21039" xr:uid="{00000000-0005-0000-0000-000057550000}"/>
    <cellStyle name="Normal 4 10 2 8" xfId="24935" xr:uid="{00000000-0005-0000-0000-000058550000}"/>
    <cellStyle name="Normal 4 10 2 9" xfId="26955" xr:uid="{00000000-0005-0000-0000-000059550000}"/>
    <cellStyle name="Normal 4 10 3" xfId="3978" xr:uid="{00000000-0005-0000-0000-00005A550000}"/>
    <cellStyle name="Normal 4 10 3 2" xfId="5455" xr:uid="{00000000-0005-0000-0000-00005B550000}"/>
    <cellStyle name="Normal 4 10 3 2 2" xfId="6525" xr:uid="{00000000-0005-0000-0000-00005C550000}"/>
    <cellStyle name="Normal 4 10 3 2 2 2" xfId="21057" xr:uid="{00000000-0005-0000-0000-00005D550000}"/>
    <cellStyle name="Normal 4 10 3 2 2 3" xfId="26972" xr:uid="{00000000-0005-0000-0000-00005E550000}"/>
    <cellStyle name="Normal 4 10 3 2 3" xfId="21056" xr:uid="{00000000-0005-0000-0000-00005F550000}"/>
    <cellStyle name="Normal 4 10 3 2 4" xfId="26971" xr:uid="{00000000-0005-0000-0000-000060550000}"/>
    <cellStyle name="Normal 4 10 3 3" xfId="5765" xr:uid="{00000000-0005-0000-0000-000061550000}"/>
    <cellStyle name="Normal 4 10 3 3 2" xfId="6526" xr:uid="{00000000-0005-0000-0000-000062550000}"/>
    <cellStyle name="Normal 4 10 3 3 2 2" xfId="26974" xr:uid="{00000000-0005-0000-0000-000063550000}"/>
    <cellStyle name="Normal 4 10 3 3 3" xfId="21058" xr:uid="{00000000-0005-0000-0000-000064550000}"/>
    <cellStyle name="Normal 4 10 3 3 4" xfId="26973" xr:uid="{00000000-0005-0000-0000-000065550000}"/>
    <cellStyle name="Normal 4 10 3 4" xfId="4881" xr:uid="{00000000-0005-0000-0000-000066550000}"/>
    <cellStyle name="Normal 4 10 3 4 2" xfId="6527" xr:uid="{00000000-0005-0000-0000-000067550000}"/>
    <cellStyle name="Normal 4 10 3 4 2 2" xfId="26976" xr:uid="{00000000-0005-0000-0000-000068550000}"/>
    <cellStyle name="Normal 4 10 3 4 3" xfId="26975" xr:uid="{00000000-0005-0000-0000-000069550000}"/>
    <cellStyle name="Normal 4 10 3 5" xfId="21055" xr:uid="{00000000-0005-0000-0000-00006A550000}"/>
    <cellStyle name="Normal 4 10 4" xfId="5452" xr:uid="{00000000-0005-0000-0000-00006B550000}"/>
    <cellStyle name="Normal 4 10 4 2" xfId="6528" xr:uid="{00000000-0005-0000-0000-00006C550000}"/>
    <cellStyle name="Normal 4 10 4 2 2" xfId="21060" xr:uid="{00000000-0005-0000-0000-00006D550000}"/>
    <cellStyle name="Normal 4 10 4 2 3" xfId="26978" xr:uid="{00000000-0005-0000-0000-00006E550000}"/>
    <cellStyle name="Normal 4 10 4 3" xfId="21059" xr:uid="{00000000-0005-0000-0000-00006F550000}"/>
    <cellStyle name="Normal 4 10 4 4" xfId="26977" xr:uid="{00000000-0005-0000-0000-000070550000}"/>
    <cellStyle name="Normal 4 10 5" xfId="5762" xr:uid="{00000000-0005-0000-0000-000071550000}"/>
    <cellStyle name="Normal 4 10 5 2" xfId="6529" xr:uid="{00000000-0005-0000-0000-000072550000}"/>
    <cellStyle name="Normal 4 10 5 2 2" xfId="21063" xr:uid="{00000000-0005-0000-0000-000073550000}"/>
    <cellStyle name="Normal 4 10 5 2 3" xfId="21062" xr:uid="{00000000-0005-0000-0000-000074550000}"/>
    <cellStyle name="Normal 4 10 5 2 4" xfId="26980" xr:uid="{00000000-0005-0000-0000-000075550000}"/>
    <cellStyle name="Normal 4 10 5 3" xfId="21064" xr:uid="{00000000-0005-0000-0000-000076550000}"/>
    <cellStyle name="Normal 4 10 5 4" xfId="21061" xr:uid="{00000000-0005-0000-0000-000077550000}"/>
    <cellStyle name="Normal 4 10 5 5" xfId="26979" xr:uid="{00000000-0005-0000-0000-000078550000}"/>
    <cellStyle name="Normal 4 10 6" xfId="4878" xr:uid="{00000000-0005-0000-0000-000079550000}"/>
    <cellStyle name="Normal 4 10 6 2" xfId="6530" xr:uid="{00000000-0005-0000-0000-00007A550000}"/>
    <cellStyle name="Normal 4 10 6 2 2" xfId="21067" xr:uid="{00000000-0005-0000-0000-00007B550000}"/>
    <cellStyle name="Normal 4 10 6 2 3" xfId="21066" xr:uid="{00000000-0005-0000-0000-00007C550000}"/>
    <cellStyle name="Normal 4 10 6 2 4" xfId="26982" xr:uid="{00000000-0005-0000-0000-00007D550000}"/>
    <cellStyle name="Normal 4 10 6 3" xfId="21068" xr:uid="{00000000-0005-0000-0000-00007E550000}"/>
    <cellStyle name="Normal 4 10 6 4" xfId="21065" xr:uid="{00000000-0005-0000-0000-00007F550000}"/>
    <cellStyle name="Normal 4 10 6 5" xfId="26981" xr:uid="{00000000-0005-0000-0000-000080550000}"/>
    <cellStyle name="Normal 4 10 7" xfId="21069" xr:uid="{00000000-0005-0000-0000-000081550000}"/>
    <cellStyle name="Normal 4 10 7 2" xfId="21070" xr:uid="{00000000-0005-0000-0000-000082550000}"/>
    <cellStyle name="Normal 4 10 8" xfId="21071" xr:uid="{00000000-0005-0000-0000-000083550000}"/>
    <cellStyle name="Normal 4 10 8 2" xfId="21072" xr:uid="{00000000-0005-0000-0000-000084550000}"/>
    <cellStyle name="Normal 4 10 9" xfId="21073" xr:uid="{00000000-0005-0000-0000-000085550000}"/>
    <cellStyle name="Normal 4 11" xfId="1118" xr:uid="{00000000-0005-0000-0000-000086550000}"/>
    <cellStyle name="Normal 4 11 2" xfId="3988" xr:uid="{00000000-0005-0000-0000-000087550000}"/>
    <cellStyle name="Normal 4 11 2 2" xfId="21075" xr:uid="{00000000-0005-0000-0000-000088550000}"/>
    <cellStyle name="Normal 4 11 2 3" xfId="21074" xr:uid="{00000000-0005-0000-0000-000089550000}"/>
    <cellStyle name="Normal 4 11 3" xfId="4882" xr:uid="{00000000-0005-0000-0000-00008A550000}"/>
    <cellStyle name="Normal 4 11 3 2" xfId="21076" xr:uid="{00000000-0005-0000-0000-00008B550000}"/>
    <cellStyle name="Normal 4 11 4" xfId="21077" xr:uid="{00000000-0005-0000-0000-00008C550000}"/>
    <cellStyle name="Normal 4 11 4 2" xfId="21078" xr:uid="{00000000-0005-0000-0000-00008D550000}"/>
    <cellStyle name="Normal 4 11 5" xfId="21079" xr:uid="{00000000-0005-0000-0000-00008E550000}"/>
    <cellStyle name="Normal 4 11 5 2" xfId="21080" xr:uid="{00000000-0005-0000-0000-00008F550000}"/>
    <cellStyle name="Normal 4 12" xfId="1128" xr:uid="{00000000-0005-0000-0000-000090550000}"/>
    <cellStyle name="Normal 4 12 2" xfId="3998" xr:uid="{00000000-0005-0000-0000-000091550000}"/>
    <cellStyle name="Normal 4 12 2 2" xfId="21083" xr:uid="{00000000-0005-0000-0000-000092550000}"/>
    <cellStyle name="Normal 4 12 2 3" xfId="21082" xr:uid="{00000000-0005-0000-0000-000093550000}"/>
    <cellStyle name="Normal 4 12 3" xfId="21084" xr:uid="{00000000-0005-0000-0000-000094550000}"/>
    <cellStyle name="Normal 4 12 3 2" xfId="21085" xr:uid="{00000000-0005-0000-0000-000095550000}"/>
    <cellStyle name="Normal 4 12 4" xfId="21086" xr:uid="{00000000-0005-0000-0000-000096550000}"/>
    <cellStyle name="Normal 4 12 4 2" xfId="21087" xr:uid="{00000000-0005-0000-0000-000097550000}"/>
    <cellStyle name="Normal 4 12 5" xfId="21088" xr:uid="{00000000-0005-0000-0000-000098550000}"/>
    <cellStyle name="Normal 4 12 6" xfId="21081" xr:uid="{00000000-0005-0000-0000-000099550000}"/>
    <cellStyle name="Normal 4 13" xfId="1138" xr:uid="{00000000-0005-0000-0000-00009A550000}"/>
    <cellStyle name="Normal 4 13 2" xfId="4008" xr:uid="{00000000-0005-0000-0000-00009B550000}"/>
    <cellStyle name="Normal 4 13 2 2" xfId="21091" xr:uid="{00000000-0005-0000-0000-00009C550000}"/>
    <cellStyle name="Normal 4 13 2 3" xfId="21090" xr:uid="{00000000-0005-0000-0000-00009D550000}"/>
    <cellStyle name="Normal 4 13 3" xfId="21092" xr:uid="{00000000-0005-0000-0000-00009E550000}"/>
    <cellStyle name="Normal 4 13 3 2" xfId="21093" xr:uid="{00000000-0005-0000-0000-00009F550000}"/>
    <cellStyle name="Normal 4 13 4" xfId="21094" xr:uid="{00000000-0005-0000-0000-0000A0550000}"/>
    <cellStyle name="Normal 4 13 4 2" xfId="21095" xr:uid="{00000000-0005-0000-0000-0000A1550000}"/>
    <cellStyle name="Normal 4 13 5" xfId="21096" xr:uid="{00000000-0005-0000-0000-0000A2550000}"/>
    <cellStyle name="Normal 4 13 6" xfId="21089" xr:uid="{00000000-0005-0000-0000-0000A3550000}"/>
    <cellStyle name="Normal 4 14" xfId="1151" xr:uid="{00000000-0005-0000-0000-0000A4550000}"/>
    <cellStyle name="Normal 4 14 2" xfId="4021" xr:uid="{00000000-0005-0000-0000-0000A5550000}"/>
    <cellStyle name="Normal 4 14 2 2" xfId="21099" xr:uid="{00000000-0005-0000-0000-0000A6550000}"/>
    <cellStyle name="Normal 4 14 2 3" xfId="21098" xr:uid="{00000000-0005-0000-0000-0000A7550000}"/>
    <cellStyle name="Normal 4 14 3" xfId="21100" xr:uid="{00000000-0005-0000-0000-0000A8550000}"/>
    <cellStyle name="Normal 4 14 3 2" xfId="21101" xr:uid="{00000000-0005-0000-0000-0000A9550000}"/>
    <cellStyle name="Normal 4 14 4" xfId="21102" xr:uid="{00000000-0005-0000-0000-0000AA550000}"/>
    <cellStyle name="Normal 4 14 4 2" xfId="21103" xr:uid="{00000000-0005-0000-0000-0000AB550000}"/>
    <cellStyle name="Normal 4 14 5" xfId="21104" xr:uid="{00000000-0005-0000-0000-0000AC550000}"/>
    <cellStyle name="Normal 4 14 6" xfId="21097" xr:uid="{00000000-0005-0000-0000-0000AD550000}"/>
    <cellStyle name="Normal 4 15" xfId="1155" xr:uid="{00000000-0005-0000-0000-0000AE550000}"/>
    <cellStyle name="Normal 4 15 2" xfId="4025" xr:uid="{00000000-0005-0000-0000-0000AF550000}"/>
    <cellStyle name="Normal 4 15 2 2" xfId="21107" xr:uid="{00000000-0005-0000-0000-0000B0550000}"/>
    <cellStyle name="Normal 4 15 2 3" xfId="21106" xr:uid="{00000000-0005-0000-0000-0000B1550000}"/>
    <cellStyle name="Normal 4 15 3" xfId="21108" xr:uid="{00000000-0005-0000-0000-0000B2550000}"/>
    <cellStyle name="Normal 4 15 4" xfId="21105" xr:uid="{00000000-0005-0000-0000-0000B3550000}"/>
    <cellStyle name="Normal 4 16" xfId="1168" xr:uid="{00000000-0005-0000-0000-0000B4550000}"/>
    <cellStyle name="Normal 4 16 2" xfId="4038" xr:uid="{00000000-0005-0000-0000-0000B5550000}"/>
    <cellStyle name="Normal 4 16 2 2" xfId="21111" xr:uid="{00000000-0005-0000-0000-0000B6550000}"/>
    <cellStyle name="Normal 4 16 2 3" xfId="21110" xr:uid="{00000000-0005-0000-0000-0000B7550000}"/>
    <cellStyle name="Normal 4 16 3" xfId="21112" xr:uid="{00000000-0005-0000-0000-0000B8550000}"/>
    <cellStyle name="Normal 4 16 4" xfId="21109" xr:uid="{00000000-0005-0000-0000-0000B9550000}"/>
    <cellStyle name="Normal 4 17" xfId="1178" xr:uid="{00000000-0005-0000-0000-0000BA550000}"/>
    <cellStyle name="Normal 4 17 2" xfId="4048" xr:uid="{00000000-0005-0000-0000-0000BB550000}"/>
    <cellStyle name="Normal 4 17 2 2" xfId="21115" xr:uid="{00000000-0005-0000-0000-0000BC550000}"/>
    <cellStyle name="Normal 4 17 2 3" xfId="21114" xr:uid="{00000000-0005-0000-0000-0000BD550000}"/>
    <cellStyle name="Normal 4 17 3" xfId="21116" xr:uid="{00000000-0005-0000-0000-0000BE550000}"/>
    <cellStyle name="Normal 4 17 4" xfId="21113" xr:uid="{00000000-0005-0000-0000-0000BF550000}"/>
    <cellStyle name="Normal 4 18" xfId="1188" xr:uid="{00000000-0005-0000-0000-0000C0550000}"/>
    <cellStyle name="Normal 4 18 2" xfId="4058" xr:uid="{00000000-0005-0000-0000-0000C1550000}"/>
    <cellStyle name="Normal 4 18 2 2" xfId="21118" xr:uid="{00000000-0005-0000-0000-0000C2550000}"/>
    <cellStyle name="Normal 4 18 3" xfId="21117" xr:uid="{00000000-0005-0000-0000-0000C3550000}"/>
    <cellStyle name="Normal 4 19" xfId="1198" xr:uid="{00000000-0005-0000-0000-0000C4550000}"/>
    <cellStyle name="Normal 4 19 2" xfId="4068" xr:uid="{00000000-0005-0000-0000-0000C5550000}"/>
    <cellStyle name="Normal 4 19 2 2" xfId="21120" xr:uid="{00000000-0005-0000-0000-0000C6550000}"/>
    <cellStyle name="Normal 4 19 3" xfId="21119" xr:uid="{00000000-0005-0000-0000-0000C7550000}"/>
    <cellStyle name="Normal 4 2" xfId="1037" xr:uid="{00000000-0005-0000-0000-0000C8550000}"/>
    <cellStyle name="Normal 4 2 10" xfId="21122" xr:uid="{00000000-0005-0000-0000-0000C9550000}"/>
    <cellStyle name="Normal 4 2 10 2" xfId="21123" xr:uid="{00000000-0005-0000-0000-0000CA550000}"/>
    <cellStyle name="Normal 4 2 10 2 2" xfId="21124" xr:uid="{00000000-0005-0000-0000-0000CB550000}"/>
    <cellStyle name="Normal 4 2 10 3" xfId="21125" xr:uid="{00000000-0005-0000-0000-0000CC550000}"/>
    <cellStyle name="Normal 4 2 10 3 2" xfId="21126" xr:uid="{00000000-0005-0000-0000-0000CD550000}"/>
    <cellStyle name="Normal 4 2 10 4" xfId="21127" xr:uid="{00000000-0005-0000-0000-0000CE550000}"/>
    <cellStyle name="Normal 4 2 11" xfId="21128" xr:uid="{00000000-0005-0000-0000-0000CF550000}"/>
    <cellStyle name="Normal 4 2 11 2" xfId="21129" xr:uid="{00000000-0005-0000-0000-0000D0550000}"/>
    <cellStyle name="Normal 4 2 11 2 2" xfId="21130" xr:uid="{00000000-0005-0000-0000-0000D1550000}"/>
    <cellStyle name="Normal 4 2 11 3" xfId="21131" xr:uid="{00000000-0005-0000-0000-0000D2550000}"/>
    <cellStyle name="Normal 4 2 11 3 2" xfId="21132" xr:uid="{00000000-0005-0000-0000-0000D3550000}"/>
    <cellStyle name="Normal 4 2 11 4" xfId="21133" xr:uid="{00000000-0005-0000-0000-0000D4550000}"/>
    <cellStyle name="Normal 4 2 12" xfId="21134" xr:uid="{00000000-0005-0000-0000-0000D5550000}"/>
    <cellStyle name="Normal 4 2 12 2" xfId="21135" xr:uid="{00000000-0005-0000-0000-0000D6550000}"/>
    <cellStyle name="Normal 4 2 12 2 2" xfId="21136" xr:uid="{00000000-0005-0000-0000-0000D7550000}"/>
    <cellStyle name="Normal 4 2 12 3" xfId="21137" xr:uid="{00000000-0005-0000-0000-0000D8550000}"/>
    <cellStyle name="Normal 4 2 12 3 2" xfId="21138" xr:uid="{00000000-0005-0000-0000-0000D9550000}"/>
    <cellStyle name="Normal 4 2 12 4" xfId="21139" xr:uid="{00000000-0005-0000-0000-0000DA550000}"/>
    <cellStyle name="Normal 4 2 13" xfId="21140" xr:uid="{00000000-0005-0000-0000-0000DB550000}"/>
    <cellStyle name="Normal 4 2 13 2" xfId="21141" xr:uid="{00000000-0005-0000-0000-0000DC550000}"/>
    <cellStyle name="Normal 4 2 14" xfId="21142" xr:uid="{00000000-0005-0000-0000-0000DD550000}"/>
    <cellStyle name="Normal 4 2 14 2" xfId="21143" xr:uid="{00000000-0005-0000-0000-0000DE550000}"/>
    <cellStyle name="Normal 4 2 15" xfId="21144" xr:uid="{00000000-0005-0000-0000-0000DF550000}"/>
    <cellStyle name="Normal 4 2 15 2" xfId="21145" xr:uid="{00000000-0005-0000-0000-0000E0550000}"/>
    <cellStyle name="Normal 4 2 16" xfId="21146" xr:uid="{00000000-0005-0000-0000-0000E1550000}"/>
    <cellStyle name="Normal 4 2 16 2" xfId="21147" xr:uid="{00000000-0005-0000-0000-0000E2550000}"/>
    <cellStyle name="Normal 4 2 16 2 2" xfId="21148" xr:uid="{00000000-0005-0000-0000-0000E3550000}"/>
    <cellStyle name="Normal 4 2 16 3" xfId="21149" xr:uid="{00000000-0005-0000-0000-0000E4550000}"/>
    <cellStyle name="Normal 4 2 17" xfId="21150" xr:uid="{00000000-0005-0000-0000-0000E5550000}"/>
    <cellStyle name="Normal 4 2 17 2" xfId="21151" xr:uid="{00000000-0005-0000-0000-0000E6550000}"/>
    <cellStyle name="Normal 4 2 17 2 2" xfId="21152" xr:uid="{00000000-0005-0000-0000-0000E7550000}"/>
    <cellStyle name="Normal 4 2 17 3" xfId="21153" xr:uid="{00000000-0005-0000-0000-0000E8550000}"/>
    <cellStyle name="Normal 4 2 18" xfId="21154" xr:uid="{00000000-0005-0000-0000-0000E9550000}"/>
    <cellStyle name="Normal 4 2 18 2" xfId="21155" xr:uid="{00000000-0005-0000-0000-0000EA550000}"/>
    <cellStyle name="Normal 4 2 19" xfId="21156" xr:uid="{00000000-0005-0000-0000-0000EB550000}"/>
    <cellStyle name="Normal 4 2 19 2" xfId="21157" xr:uid="{00000000-0005-0000-0000-0000EC550000}"/>
    <cellStyle name="Normal 4 2 2" xfId="3716" xr:uid="{00000000-0005-0000-0000-0000ED550000}"/>
    <cellStyle name="Normal 4 2 2 10" xfId="24938" xr:uid="{00000000-0005-0000-0000-0000EE550000}"/>
    <cellStyle name="Normal 4 2 2 11" xfId="26983" xr:uid="{00000000-0005-0000-0000-0000EF550000}"/>
    <cellStyle name="Normal 4 2 2 2" xfId="4206" xr:uid="{00000000-0005-0000-0000-0000F0550000}"/>
    <cellStyle name="Normal 4 2 2 2 2" xfId="4886" xr:uid="{00000000-0005-0000-0000-0000F1550000}"/>
    <cellStyle name="Normal 4 2 2 2 2 2" xfId="5459" xr:uid="{00000000-0005-0000-0000-0000F2550000}"/>
    <cellStyle name="Normal 4 2 2 2 2 2 2" xfId="6534" xr:uid="{00000000-0005-0000-0000-0000F3550000}"/>
    <cellStyle name="Normal 4 2 2 2 2 2 2 2" xfId="21162" xr:uid="{00000000-0005-0000-0000-0000F4550000}"/>
    <cellStyle name="Normal 4 2 2 2 2 2 2 3" xfId="26987" xr:uid="{00000000-0005-0000-0000-0000F5550000}"/>
    <cellStyle name="Normal 4 2 2 2 2 2 3" xfId="21161" xr:uid="{00000000-0005-0000-0000-0000F6550000}"/>
    <cellStyle name="Normal 4 2 2 2 2 2 4" xfId="26986" xr:uid="{00000000-0005-0000-0000-0000F7550000}"/>
    <cellStyle name="Normal 4 2 2 2 2 3" xfId="5769" xr:uid="{00000000-0005-0000-0000-0000F8550000}"/>
    <cellStyle name="Normal 4 2 2 2 2 3 2" xfId="6535" xr:uid="{00000000-0005-0000-0000-0000F9550000}"/>
    <cellStyle name="Normal 4 2 2 2 2 3 2 2" xfId="26989" xr:uid="{00000000-0005-0000-0000-0000FA550000}"/>
    <cellStyle name="Normal 4 2 2 2 2 3 3" xfId="21163" xr:uid="{00000000-0005-0000-0000-0000FB550000}"/>
    <cellStyle name="Normal 4 2 2 2 2 3 4" xfId="26988" xr:uid="{00000000-0005-0000-0000-0000FC550000}"/>
    <cellStyle name="Normal 4 2 2 2 2 4" xfId="6533" xr:uid="{00000000-0005-0000-0000-0000FD550000}"/>
    <cellStyle name="Normal 4 2 2 2 2 4 2" xfId="26990" xr:uid="{00000000-0005-0000-0000-0000FE550000}"/>
    <cellStyle name="Normal 4 2 2 2 2 5" xfId="21160" xr:uid="{00000000-0005-0000-0000-0000FF550000}"/>
    <cellStyle name="Normal 4 2 2 2 2 6" xfId="26985" xr:uid="{00000000-0005-0000-0000-000000560000}"/>
    <cellStyle name="Normal 4 2 2 2 3" xfId="5458" xr:uid="{00000000-0005-0000-0000-000001560000}"/>
    <cellStyle name="Normal 4 2 2 2 3 2" xfId="6536" xr:uid="{00000000-0005-0000-0000-000002560000}"/>
    <cellStyle name="Normal 4 2 2 2 3 2 2" xfId="21166" xr:uid="{00000000-0005-0000-0000-000003560000}"/>
    <cellStyle name="Normal 4 2 2 2 3 2 3" xfId="21165" xr:uid="{00000000-0005-0000-0000-000004560000}"/>
    <cellStyle name="Normal 4 2 2 2 3 2 4" xfId="26992" xr:uid="{00000000-0005-0000-0000-000005560000}"/>
    <cellStyle name="Normal 4 2 2 2 3 3" xfId="21167" xr:uid="{00000000-0005-0000-0000-000006560000}"/>
    <cellStyle name="Normal 4 2 2 2 3 3 2" xfId="21168" xr:uid="{00000000-0005-0000-0000-000007560000}"/>
    <cellStyle name="Normal 4 2 2 2 3 4" xfId="21169" xr:uid="{00000000-0005-0000-0000-000008560000}"/>
    <cellStyle name="Normal 4 2 2 2 3 5" xfId="21164" xr:uid="{00000000-0005-0000-0000-000009560000}"/>
    <cellStyle name="Normal 4 2 2 2 3 6" xfId="26991" xr:uid="{00000000-0005-0000-0000-00000A560000}"/>
    <cellStyle name="Normal 4 2 2 2 4" xfId="5768" xr:uid="{00000000-0005-0000-0000-00000B560000}"/>
    <cellStyle name="Normal 4 2 2 2 4 2" xfId="6537" xr:uid="{00000000-0005-0000-0000-00000C560000}"/>
    <cellStyle name="Normal 4 2 2 2 4 2 2" xfId="21171" xr:uid="{00000000-0005-0000-0000-00000D560000}"/>
    <cellStyle name="Normal 4 2 2 2 4 2 3" xfId="26994" xr:uid="{00000000-0005-0000-0000-00000E560000}"/>
    <cellStyle name="Normal 4 2 2 2 4 3" xfId="21170" xr:uid="{00000000-0005-0000-0000-00000F560000}"/>
    <cellStyle name="Normal 4 2 2 2 4 4" xfId="26993" xr:uid="{00000000-0005-0000-0000-000010560000}"/>
    <cellStyle name="Normal 4 2 2 2 5" xfId="4885" xr:uid="{00000000-0005-0000-0000-000011560000}"/>
    <cellStyle name="Normal 4 2 2 2 5 2" xfId="6538" xr:uid="{00000000-0005-0000-0000-000012560000}"/>
    <cellStyle name="Normal 4 2 2 2 5 2 2" xfId="21173" xr:uid="{00000000-0005-0000-0000-000013560000}"/>
    <cellStyle name="Normal 4 2 2 2 5 2 3" xfId="26996" xr:uid="{00000000-0005-0000-0000-000014560000}"/>
    <cellStyle name="Normal 4 2 2 2 5 3" xfId="21172" xr:uid="{00000000-0005-0000-0000-000015560000}"/>
    <cellStyle name="Normal 4 2 2 2 5 4" xfId="26995" xr:uid="{00000000-0005-0000-0000-000016560000}"/>
    <cellStyle name="Normal 4 2 2 2 6" xfId="6532" xr:uid="{00000000-0005-0000-0000-000017560000}"/>
    <cellStyle name="Normal 4 2 2 2 6 2" xfId="21174" xr:uid="{00000000-0005-0000-0000-000018560000}"/>
    <cellStyle name="Normal 4 2 2 2 6 3" xfId="26997" xr:uid="{00000000-0005-0000-0000-000019560000}"/>
    <cellStyle name="Normal 4 2 2 2 7" xfId="21159" xr:uid="{00000000-0005-0000-0000-00001A560000}"/>
    <cellStyle name="Normal 4 2 2 2 8" xfId="25058" xr:uid="{00000000-0005-0000-0000-00001B560000}"/>
    <cellStyle name="Normal 4 2 2 2 9" xfId="26984" xr:uid="{00000000-0005-0000-0000-00001C560000}"/>
    <cellStyle name="Normal 4 2 2 3" xfId="4887" xr:uid="{00000000-0005-0000-0000-00001D560000}"/>
    <cellStyle name="Normal 4 2 2 3 2" xfId="5460" xr:uid="{00000000-0005-0000-0000-00001E560000}"/>
    <cellStyle name="Normal 4 2 2 3 2 2" xfId="6540" xr:uid="{00000000-0005-0000-0000-00001F560000}"/>
    <cellStyle name="Normal 4 2 2 3 2 2 2" xfId="21177" xr:uid="{00000000-0005-0000-0000-000020560000}"/>
    <cellStyle name="Normal 4 2 2 3 2 2 3" xfId="27000" xr:uid="{00000000-0005-0000-0000-000021560000}"/>
    <cellStyle name="Normal 4 2 2 3 2 3" xfId="21176" xr:uid="{00000000-0005-0000-0000-000022560000}"/>
    <cellStyle name="Normal 4 2 2 3 2 4" xfId="26999" xr:uid="{00000000-0005-0000-0000-000023560000}"/>
    <cellStyle name="Normal 4 2 2 3 3" xfId="5770" xr:uid="{00000000-0005-0000-0000-000024560000}"/>
    <cellStyle name="Normal 4 2 2 3 3 2" xfId="6541" xr:uid="{00000000-0005-0000-0000-000025560000}"/>
    <cellStyle name="Normal 4 2 2 3 3 2 2" xfId="27002" xr:uid="{00000000-0005-0000-0000-000026560000}"/>
    <cellStyle name="Normal 4 2 2 3 3 3" xfId="21178" xr:uid="{00000000-0005-0000-0000-000027560000}"/>
    <cellStyle name="Normal 4 2 2 3 3 4" xfId="27001" xr:uid="{00000000-0005-0000-0000-000028560000}"/>
    <cellStyle name="Normal 4 2 2 3 4" xfId="6539" xr:uid="{00000000-0005-0000-0000-000029560000}"/>
    <cellStyle name="Normal 4 2 2 3 4 2" xfId="27003" xr:uid="{00000000-0005-0000-0000-00002A560000}"/>
    <cellStyle name="Normal 4 2 2 3 5" xfId="21175" xr:uid="{00000000-0005-0000-0000-00002B560000}"/>
    <cellStyle name="Normal 4 2 2 3 6" xfId="26998" xr:uid="{00000000-0005-0000-0000-00002C560000}"/>
    <cellStyle name="Normal 4 2 2 4" xfId="5457" xr:uid="{00000000-0005-0000-0000-00002D560000}"/>
    <cellStyle name="Normal 4 2 2 4 2" xfId="6542" xr:uid="{00000000-0005-0000-0000-00002E560000}"/>
    <cellStyle name="Normal 4 2 2 4 2 2" xfId="21180" xr:uid="{00000000-0005-0000-0000-00002F560000}"/>
    <cellStyle name="Normal 4 2 2 4 2 3" xfId="27005" xr:uid="{00000000-0005-0000-0000-000030560000}"/>
    <cellStyle name="Normal 4 2 2 4 3" xfId="21179" xr:uid="{00000000-0005-0000-0000-000031560000}"/>
    <cellStyle name="Normal 4 2 2 4 4" xfId="27004" xr:uid="{00000000-0005-0000-0000-000032560000}"/>
    <cellStyle name="Normal 4 2 2 5" xfId="5767" xr:uid="{00000000-0005-0000-0000-000033560000}"/>
    <cellStyle name="Normal 4 2 2 5 2" xfId="6543" xr:uid="{00000000-0005-0000-0000-000034560000}"/>
    <cellStyle name="Normal 4 2 2 5 2 2" xfId="21183" xr:uid="{00000000-0005-0000-0000-000035560000}"/>
    <cellStyle name="Normal 4 2 2 5 2 3" xfId="21182" xr:uid="{00000000-0005-0000-0000-000036560000}"/>
    <cellStyle name="Normal 4 2 2 5 2 4" xfId="27007" xr:uid="{00000000-0005-0000-0000-000037560000}"/>
    <cellStyle name="Normal 4 2 2 5 3" xfId="21184" xr:uid="{00000000-0005-0000-0000-000038560000}"/>
    <cellStyle name="Normal 4 2 2 5 3 2" xfId="21185" xr:uid="{00000000-0005-0000-0000-000039560000}"/>
    <cellStyle name="Normal 4 2 2 5 4" xfId="21186" xr:uid="{00000000-0005-0000-0000-00003A560000}"/>
    <cellStyle name="Normal 4 2 2 5 5" xfId="21181" xr:uid="{00000000-0005-0000-0000-00003B560000}"/>
    <cellStyle name="Normal 4 2 2 5 6" xfId="27006" xr:uid="{00000000-0005-0000-0000-00003C560000}"/>
    <cellStyle name="Normal 4 2 2 6" xfId="4884" xr:uid="{00000000-0005-0000-0000-00003D560000}"/>
    <cellStyle name="Normal 4 2 2 6 2" xfId="6544" xr:uid="{00000000-0005-0000-0000-00003E560000}"/>
    <cellStyle name="Normal 4 2 2 6 2 2" xfId="21188" xr:uid="{00000000-0005-0000-0000-00003F560000}"/>
    <cellStyle name="Normal 4 2 2 6 2 3" xfId="27009" xr:uid="{00000000-0005-0000-0000-000040560000}"/>
    <cellStyle name="Normal 4 2 2 6 3" xfId="21187" xr:uid="{00000000-0005-0000-0000-000041560000}"/>
    <cellStyle name="Normal 4 2 2 6 4" xfId="27008" xr:uid="{00000000-0005-0000-0000-000042560000}"/>
    <cellStyle name="Normal 4 2 2 7" xfId="6531" xr:uid="{00000000-0005-0000-0000-000043560000}"/>
    <cellStyle name="Normal 4 2 2 7 2" xfId="21190" xr:uid="{00000000-0005-0000-0000-000044560000}"/>
    <cellStyle name="Normal 4 2 2 7 3" xfId="21189" xr:uid="{00000000-0005-0000-0000-000045560000}"/>
    <cellStyle name="Normal 4 2 2 7 4" xfId="27010" xr:uid="{00000000-0005-0000-0000-000046560000}"/>
    <cellStyle name="Normal 4 2 2 8" xfId="21191" xr:uid="{00000000-0005-0000-0000-000047560000}"/>
    <cellStyle name="Normal 4 2 2 9" xfId="21158" xr:uid="{00000000-0005-0000-0000-000048560000}"/>
    <cellStyle name="Normal 4 2 20" xfId="21192" xr:uid="{00000000-0005-0000-0000-000049560000}"/>
    <cellStyle name="Normal 4 2 21" xfId="21121" xr:uid="{00000000-0005-0000-0000-00004A560000}"/>
    <cellStyle name="Normal 4 2 3" xfId="1362" xr:uid="{00000000-0005-0000-0000-00004B560000}"/>
    <cellStyle name="Normal 4 2 3 10" xfId="24894" xr:uid="{00000000-0005-0000-0000-00004C560000}"/>
    <cellStyle name="Normal 4 2 3 11" xfId="27011" xr:uid="{00000000-0005-0000-0000-00004D560000}"/>
    <cellStyle name="Normal 4 2 3 2" xfId="4162" xr:uid="{00000000-0005-0000-0000-00004E560000}"/>
    <cellStyle name="Normal 4 2 3 2 2" xfId="5462" xr:uid="{00000000-0005-0000-0000-00004F560000}"/>
    <cellStyle name="Normal 4 2 3 2 2 2" xfId="6547" xr:uid="{00000000-0005-0000-0000-000050560000}"/>
    <cellStyle name="Normal 4 2 3 2 2 2 2" xfId="21196" xr:uid="{00000000-0005-0000-0000-000051560000}"/>
    <cellStyle name="Normal 4 2 3 2 2 2 3" xfId="27014" xr:uid="{00000000-0005-0000-0000-000052560000}"/>
    <cellStyle name="Normal 4 2 3 2 2 3" xfId="21195" xr:uid="{00000000-0005-0000-0000-000053560000}"/>
    <cellStyle name="Normal 4 2 3 2 2 4" xfId="27013" xr:uid="{00000000-0005-0000-0000-000054560000}"/>
    <cellStyle name="Normal 4 2 3 2 3" xfId="5772" xr:uid="{00000000-0005-0000-0000-000055560000}"/>
    <cellStyle name="Normal 4 2 3 2 3 2" xfId="6548" xr:uid="{00000000-0005-0000-0000-000056560000}"/>
    <cellStyle name="Normal 4 2 3 2 3 2 2" xfId="27016" xr:uid="{00000000-0005-0000-0000-000057560000}"/>
    <cellStyle name="Normal 4 2 3 2 3 3" xfId="21197" xr:uid="{00000000-0005-0000-0000-000058560000}"/>
    <cellStyle name="Normal 4 2 3 2 3 4" xfId="27015" xr:uid="{00000000-0005-0000-0000-000059560000}"/>
    <cellStyle name="Normal 4 2 3 2 4" xfId="4889" xr:uid="{00000000-0005-0000-0000-00005A560000}"/>
    <cellStyle name="Normal 4 2 3 2 4 2" xfId="6549" xr:uid="{00000000-0005-0000-0000-00005B560000}"/>
    <cellStyle name="Normal 4 2 3 2 4 2 2" xfId="27018" xr:uid="{00000000-0005-0000-0000-00005C560000}"/>
    <cellStyle name="Normal 4 2 3 2 4 3" xfId="27017" xr:uid="{00000000-0005-0000-0000-00005D560000}"/>
    <cellStyle name="Normal 4 2 3 2 5" xfId="6546" xr:uid="{00000000-0005-0000-0000-00005E560000}"/>
    <cellStyle name="Normal 4 2 3 2 5 2" xfId="27019" xr:uid="{00000000-0005-0000-0000-00005F560000}"/>
    <cellStyle name="Normal 4 2 3 2 6" xfId="21194" xr:uid="{00000000-0005-0000-0000-000060560000}"/>
    <cellStyle name="Normal 4 2 3 2 7" xfId="25014" xr:uid="{00000000-0005-0000-0000-000061560000}"/>
    <cellStyle name="Normal 4 2 3 2 8" xfId="27012" xr:uid="{00000000-0005-0000-0000-000062560000}"/>
    <cellStyle name="Normal 4 2 3 3" xfId="5461" xr:uid="{00000000-0005-0000-0000-000063560000}"/>
    <cellStyle name="Normal 4 2 3 3 2" xfId="6550" xr:uid="{00000000-0005-0000-0000-000064560000}"/>
    <cellStyle name="Normal 4 2 3 3 2 2" xfId="21199" xr:uid="{00000000-0005-0000-0000-000065560000}"/>
    <cellStyle name="Normal 4 2 3 3 2 3" xfId="27021" xr:uid="{00000000-0005-0000-0000-000066560000}"/>
    <cellStyle name="Normal 4 2 3 3 3" xfId="21198" xr:uid="{00000000-0005-0000-0000-000067560000}"/>
    <cellStyle name="Normal 4 2 3 3 4" xfId="27020" xr:uid="{00000000-0005-0000-0000-000068560000}"/>
    <cellStyle name="Normal 4 2 3 4" xfId="5771" xr:uid="{00000000-0005-0000-0000-000069560000}"/>
    <cellStyle name="Normal 4 2 3 4 2" xfId="6551" xr:uid="{00000000-0005-0000-0000-00006A560000}"/>
    <cellStyle name="Normal 4 2 3 4 2 2" xfId="21201" xr:uid="{00000000-0005-0000-0000-00006B560000}"/>
    <cellStyle name="Normal 4 2 3 4 2 3" xfId="27023" xr:uid="{00000000-0005-0000-0000-00006C560000}"/>
    <cellStyle name="Normal 4 2 3 4 3" xfId="21200" xr:uid="{00000000-0005-0000-0000-00006D560000}"/>
    <cellStyle name="Normal 4 2 3 4 4" xfId="27022" xr:uid="{00000000-0005-0000-0000-00006E560000}"/>
    <cellStyle name="Normal 4 2 3 5" xfId="4888" xr:uid="{00000000-0005-0000-0000-00006F560000}"/>
    <cellStyle name="Normal 4 2 3 5 2" xfId="6552" xr:uid="{00000000-0005-0000-0000-000070560000}"/>
    <cellStyle name="Normal 4 2 3 5 2 2" xfId="21204" xr:uid="{00000000-0005-0000-0000-000071560000}"/>
    <cellStyle name="Normal 4 2 3 5 2 3" xfId="21203" xr:uid="{00000000-0005-0000-0000-000072560000}"/>
    <cellStyle name="Normal 4 2 3 5 2 4" xfId="27025" xr:uid="{00000000-0005-0000-0000-000073560000}"/>
    <cellStyle name="Normal 4 2 3 5 3" xfId="21205" xr:uid="{00000000-0005-0000-0000-000074560000}"/>
    <cellStyle name="Normal 4 2 3 5 3 2" xfId="21206" xr:uid="{00000000-0005-0000-0000-000075560000}"/>
    <cellStyle name="Normal 4 2 3 5 4" xfId="21207" xr:uid="{00000000-0005-0000-0000-000076560000}"/>
    <cellStyle name="Normal 4 2 3 5 5" xfId="21202" xr:uid="{00000000-0005-0000-0000-000077560000}"/>
    <cellStyle name="Normal 4 2 3 5 6" xfId="27024" xr:uid="{00000000-0005-0000-0000-000078560000}"/>
    <cellStyle name="Normal 4 2 3 6" xfId="6545" xr:uid="{00000000-0005-0000-0000-000079560000}"/>
    <cellStyle name="Normal 4 2 3 6 2" xfId="21209" xr:uid="{00000000-0005-0000-0000-00007A560000}"/>
    <cellStyle name="Normal 4 2 3 6 3" xfId="21208" xr:uid="{00000000-0005-0000-0000-00007B560000}"/>
    <cellStyle name="Normal 4 2 3 6 4" xfId="27026" xr:uid="{00000000-0005-0000-0000-00007C560000}"/>
    <cellStyle name="Normal 4 2 3 7" xfId="21210" xr:uid="{00000000-0005-0000-0000-00007D560000}"/>
    <cellStyle name="Normal 4 2 3 7 2" xfId="21211" xr:uid="{00000000-0005-0000-0000-00007E560000}"/>
    <cellStyle name="Normal 4 2 3 8" xfId="21212" xr:uid="{00000000-0005-0000-0000-00007F560000}"/>
    <cellStyle name="Normal 4 2 3 9" xfId="21193" xr:uid="{00000000-0005-0000-0000-000080560000}"/>
    <cellStyle name="Normal 4 2 4" xfId="3902" xr:uid="{00000000-0005-0000-0000-000081560000}"/>
    <cellStyle name="Normal 4 2 4 2" xfId="5463" xr:uid="{00000000-0005-0000-0000-000082560000}"/>
    <cellStyle name="Normal 4 2 4 2 2" xfId="6553" xr:uid="{00000000-0005-0000-0000-000083560000}"/>
    <cellStyle name="Normal 4 2 4 2 2 2" xfId="21215" xr:uid="{00000000-0005-0000-0000-000084560000}"/>
    <cellStyle name="Normal 4 2 4 2 2 3" xfId="27028" xr:uid="{00000000-0005-0000-0000-000085560000}"/>
    <cellStyle name="Normal 4 2 4 2 3" xfId="21214" xr:uid="{00000000-0005-0000-0000-000086560000}"/>
    <cellStyle name="Normal 4 2 4 2 4" xfId="27027" xr:uid="{00000000-0005-0000-0000-000087560000}"/>
    <cellStyle name="Normal 4 2 4 3" xfId="5773" xr:uid="{00000000-0005-0000-0000-000088560000}"/>
    <cellStyle name="Normal 4 2 4 3 2" xfId="6554" xr:uid="{00000000-0005-0000-0000-000089560000}"/>
    <cellStyle name="Normal 4 2 4 3 2 2" xfId="21217" xr:uid="{00000000-0005-0000-0000-00008A560000}"/>
    <cellStyle name="Normal 4 2 4 3 2 3" xfId="27030" xr:uid="{00000000-0005-0000-0000-00008B560000}"/>
    <cellStyle name="Normal 4 2 4 3 3" xfId="21216" xr:uid="{00000000-0005-0000-0000-00008C560000}"/>
    <cellStyle name="Normal 4 2 4 3 4" xfId="27029" xr:uid="{00000000-0005-0000-0000-00008D560000}"/>
    <cellStyle name="Normal 4 2 4 4" xfId="4890" xr:uid="{00000000-0005-0000-0000-00008E560000}"/>
    <cellStyle name="Normal 4 2 4 4 2" xfId="6555" xr:uid="{00000000-0005-0000-0000-00008F560000}"/>
    <cellStyle name="Normal 4 2 4 4 2 2" xfId="21219" xr:uid="{00000000-0005-0000-0000-000090560000}"/>
    <cellStyle name="Normal 4 2 4 4 2 3" xfId="27032" xr:uid="{00000000-0005-0000-0000-000091560000}"/>
    <cellStyle name="Normal 4 2 4 4 3" xfId="21218" xr:uid="{00000000-0005-0000-0000-000092560000}"/>
    <cellStyle name="Normal 4 2 4 4 4" xfId="27031" xr:uid="{00000000-0005-0000-0000-000093560000}"/>
    <cellStyle name="Normal 4 2 4 5" xfId="21220" xr:uid="{00000000-0005-0000-0000-000094560000}"/>
    <cellStyle name="Normal 4 2 4 6" xfId="21213" xr:uid="{00000000-0005-0000-0000-000095560000}"/>
    <cellStyle name="Normal 4 2 5" xfId="5456" xr:uid="{00000000-0005-0000-0000-000096560000}"/>
    <cellStyle name="Normal 4 2 5 2" xfId="6556" xr:uid="{00000000-0005-0000-0000-000097560000}"/>
    <cellStyle name="Normal 4 2 5 2 2" xfId="21223" xr:uid="{00000000-0005-0000-0000-000098560000}"/>
    <cellStyle name="Normal 4 2 5 2 3" xfId="21222" xr:uid="{00000000-0005-0000-0000-000099560000}"/>
    <cellStyle name="Normal 4 2 5 2 4" xfId="27034" xr:uid="{00000000-0005-0000-0000-00009A560000}"/>
    <cellStyle name="Normal 4 2 5 3" xfId="21224" xr:uid="{00000000-0005-0000-0000-00009B560000}"/>
    <cellStyle name="Normal 4 2 5 3 2" xfId="21225" xr:uid="{00000000-0005-0000-0000-00009C560000}"/>
    <cellStyle name="Normal 4 2 5 4" xfId="21226" xr:uid="{00000000-0005-0000-0000-00009D560000}"/>
    <cellStyle name="Normal 4 2 5 5" xfId="21221" xr:uid="{00000000-0005-0000-0000-00009E560000}"/>
    <cellStyle name="Normal 4 2 5 6" xfId="27033" xr:uid="{00000000-0005-0000-0000-00009F560000}"/>
    <cellStyle name="Normal 4 2 6" xfId="5766" xr:uid="{00000000-0005-0000-0000-0000A0560000}"/>
    <cellStyle name="Normal 4 2 6 2" xfId="6557" xr:uid="{00000000-0005-0000-0000-0000A1560000}"/>
    <cellStyle name="Normal 4 2 6 2 2" xfId="21229" xr:uid="{00000000-0005-0000-0000-0000A2560000}"/>
    <cellStyle name="Normal 4 2 6 2 3" xfId="21228" xr:uid="{00000000-0005-0000-0000-0000A3560000}"/>
    <cellStyle name="Normal 4 2 6 2 4" xfId="27036" xr:uid="{00000000-0005-0000-0000-0000A4560000}"/>
    <cellStyle name="Normal 4 2 6 3" xfId="21230" xr:uid="{00000000-0005-0000-0000-0000A5560000}"/>
    <cellStyle name="Normal 4 2 6 3 2" xfId="21231" xr:uid="{00000000-0005-0000-0000-0000A6560000}"/>
    <cellStyle name="Normal 4 2 6 4" xfId="21232" xr:uid="{00000000-0005-0000-0000-0000A7560000}"/>
    <cellStyle name="Normal 4 2 6 5" xfId="21227" xr:uid="{00000000-0005-0000-0000-0000A8560000}"/>
    <cellStyle name="Normal 4 2 6 6" xfId="27035" xr:uid="{00000000-0005-0000-0000-0000A9560000}"/>
    <cellStyle name="Normal 4 2 7" xfId="4883" xr:uid="{00000000-0005-0000-0000-0000AA560000}"/>
    <cellStyle name="Normal 4 2 7 2" xfId="6558" xr:uid="{00000000-0005-0000-0000-0000AB560000}"/>
    <cellStyle name="Normal 4 2 7 2 2" xfId="21235" xr:uid="{00000000-0005-0000-0000-0000AC560000}"/>
    <cellStyle name="Normal 4 2 7 2 3" xfId="21234" xr:uid="{00000000-0005-0000-0000-0000AD560000}"/>
    <cellStyle name="Normal 4 2 7 2 4" xfId="27038" xr:uid="{00000000-0005-0000-0000-0000AE560000}"/>
    <cellStyle name="Normal 4 2 7 3" xfId="21236" xr:uid="{00000000-0005-0000-0000-0000AF560000}"/>
    <cellStyle name="Normal 4 2 7 3 2" xfId="21237" xr:uid="{00000000-0005-0000-0000-0000B0560000}"/>
    <cellStyle name="Normal 4 2 7 4" xfId="21238" xr:uid="{00000000-0005-0000-0000-0000B1560000}"/>
    <cellStyle name="Normal 4 2 7 5" xfId="21233" xr:uid="{00000000-0005-0000-0000-0000B2560000}"/>
    <cellStyle name="Normal 4 2 7 6" xfId="27037" xr:uid="{00000000-0005-0000-0000-0000B3560000}"/>
    <cellStyle name="Normal 4 2 8" xfId="21239" xr:uid="{00000000-0005-0000-0000-0000B4560000}"/>
    <cellStyle name="Normal 4 2 8 2" xfId="21240" xr:uid="{00000000-0005-0000-0000-0000B5560000}"/>
    <cellStyle name="Normal 4 2 8 2 2" xfId="21241" xr:uid="{00000000-0005-0000-0000-0000B6560000}"/>
    <cellStyle name="Normal 4 2 8 3" xfId="21242" xr:uid="{00000000-0005-0000-0000-0000B7560000}"/>
    <cellStyle name="Normal 4 2 8 3 2" xfId="21243" xr:uid="{00000000-0005-0000-0000-0000B8560000}"/>
    <cellStyle name="Normal 4 2 8 4" xfId="21244" xr:uid="{00000000-0005-0000-0000-0000B9560000}"/>
    <cellStyle name="Normal 4 2 9" xfId="21245" xr:uid="{00000000-0005-0000-0000-0000BA560000}"/>
    <cellStyle name="Normal 4 2 9 2" xfId="21246" xr:uid="{00000000-0005-0000-0000-0000BB560000}"/>
    <cellStyle name="Normal 4 2 9 2 2" xfId="21247" xr:uid="{00000000-0005-0000-0000-0000BC560000}"/>
    <cellStyle name="Normal 4 2 9 3" xfId="21248" xr:uid="{00000000-0005-0000-0000-0000BD560000}"/>
    <cellStyle name="Normal 4 2 9 3 2" xfId="21249" xr:uid="{00000000-0005-0000-0000-0000BE560000}"/>
    <cellStyle name="Normal 4 2 9 4" xfId="21250" xr:uid="{00000000-0005-0000-0000-0000BF560000}"/>
    <cellStyle name="Normal 4 20" xfId="1208" xr:uid="{00000000-0005-0000-0000-0000C0560000}"/>
    <cellStyle name="Normal 4 20 2" xfId="4078" xr:uid="{00000000-0005-0000-0000-0000C1560000}"/>
    <cellStyle name="Normal 4 20 2 2" xfId="21252" xr:uid="{00000000-0005-0000-0000-0000C2560000}"/>
    <cellStyle name="Normal 4 20 3" xfId="21251" xr:uid="{00000000-0005-0000-0000-0000C3560000}"/>
    <cellStyle name="Normal 4 21" xfId="1218" xr:uid="{00000000-0005-0000-0000-0000C4560000}"/>
    <cellStyle name="Normal 4 21 2" xfId="4088" xr:uid="{00000000-0005-0000-0000-0000C5560000}"/>
    <cellStyle name="Normal 4 21 2 2" xfId="21254" xr:uid="{00000000-0005-0000-0000-0000C6560000}"/>
    <cellStyle name="Normal 4 21 3" xfId="21253" xr:uid="{00000000-0005-0000-0000-0000C7560000}"/>
    <cellStyle name="Normal 4 22" xfId="1228" xr:uid="{00000000-0005-0000-0000-0000C8560000}"/>
    <cellStyle name="Normal 4 22 2" xfId="4098" xr:uid="{00000000-0005-0000-0000-0000C9560000}"/>
    <cellStyle name="Normal 4 22 3" xfId="28687" xr:uid="{00000000-0005-0000-0000-0000CA560000}"/>
    <cellStyle name="Normal 4 23" xfId="1238" xr:uid="{00000000-0005-0000-0000-0000CB560000}"/>
    <cellStyle name="Normal 4 23 2" xfId="4108" xr:uid="{00000000-0005-0000-0000-0000CC560000}"/>
    <cellStyle name="Normal 4 24" xfId="1248" xr:uid="{00000000-0005-0000-0000-0000CD560000}"/>
    <cellStyle name="Normal 4 24 2" xfId="4118" xr:uid="{00000000-0005-0000-0000-0000CE560000}"/>
    <cellStyle name="Normal 4 25" xfId="1258" xr:uid="{00000000-0005-0000-0000-0000CF560000}"/>
    <cellStyle name="Normal 4 25 2" xfId="4128" xr:uid="{00000000-0005-0000-0000-0000D0560000}"/>
    <cellStyle name="Normal 4 26" xfId="3627" xr:uid="{00000000-0005-0000-0000-0000D1560000}"/>
    <cellStyle name="Normal 4 27" xfId="3829" xr:uid="{00000000-0005-0000-0000-0000D2560000}"/>
    <cellStyle name="Normal 4 27 2" xfId="6559" xr:uid="{00000000-0005-0000-0000-0000D3560000}"/>
    <cellStyle name="Normal 4 27 2 2" xfId="27040" xr:uid="{00000000-0005-0000-0000-0000D4560000}"/>
    <cellStyle name="Normal 4 27 3" xfId="24965" xr:uid="{00000000-0005-0000-0000-0000D5560000}"/>
    <cellStyle name="Normal 4 27 4" xfId="27039" xr:uid="{00000000-0005-0000-0000-0000D6560000}"/>
    <cellStyle name="Normal 4 28" xfId="502" xr:uid="{00000000-0005-0000-0000-0000D7560000}"/>
    <cellStyle name="Normal 4 28 2" xfId="6560" xr:uid="{00000000-0005-0000-0000-0000D8560000}"/>
    <cellStyle name="Normal 4 28 2 2" xfId="27042" xr:uid="{00000000-0005-0000-0000-0000D9560000}"/>
    <cellStyle name="Normal 4 28 3" xfId="27041" xr:uid="{00000000-0005-0000-0000-0000DA560000}"/>
    <cellStyle name="Normal 4 29" xfId="24843" xr:uid="{00000000-0005-0000-0000-0000DB560000}"/>
    <cellStyle name="Normal 4 3" xfId="1043" xr:uid="{00000000-0005-0000-0000-0000DC560000}"/>
    <cellStyle name="Normal 4 3 2" xfId="1534" xr:uid="{00000000-0005-0000-0000-0000DD560000}"/>
    <cellStyle name="Normal 4 3 2 10" xfId="24919" xr:uid="{00000000-0005-0000-0000-0000DE560000}"/>
    <cellStyle name="Normal 4 3 2 11" xfId="27043" xr:uid="{00000000-0005-0000-0000-0000DF560000}"/>
    <cellStyle name="Normal 4 3 2 2" xfId="4187" xr:uid="{00000000-0005-0000-0000-0000E0560000}"/>
    <cellStyle name="Normal 4 3 2 2 2" xfId="4893" xr:uid="{00000000-0005-0000-0000-0000E1560000}"/>
    <cellStyle name="Normal 4 3 2 2 2 2" xfId="5466" xr:uid="{00000000-0005-0000-0000-0000E2560000}"/>
    <cellStyle name="Normal 4 3 2 2 2 2 2" xfId="6564" xr:uid="{00000000-0005-0000-0000-0000E3560000}"/>
    <cellStyle name="Normal 4 3 2 2 2 2 2 2" xfId="21259" xr:uid="{00000000-0005-0000-0000-0000E4560000}"/>
    <cellStyle name="Normal 4 3 2 2 2 2 2 3" xfId="27047" xr:uid="{00000000-0005-0000-0000-0000E5560000}"/>
    <cellStyle name="Normal 4 3 2 2 2 2 3" xfId="21258" xr:uid="{00000000-0005-0000-0000-0000E6560000}"/>
    <cellStyle name="Normal 4 3 2 2 2 2 4" xfId="27046" xr:uid="{00000000-0005-0000-0000-0000E7560000}"/>
    <cellStyle name="Normal 4 3 2 2 2 3" xfId="5776" xr:uid="{00000000-0005-0000-0000-0000E8560000}"/>
    <cellStyle name="Normal 4 3 2 2 2 3 2" xfId="6565" xr:uid="{00000000-0005-0000-0000-0000E9560000}"/>
    <cellStyle name="Normal 4 3 2 2 2 3 2 2" xfId="27049" xr:uid="{00000000-0005-0000-0000-0000EA560000}"/>
    <cellStyle name="Normal 4 3 2 2 2 3 3" xfId="21260" xr:uid="{00000000-0005-0000-0000-0000EB560000}"/>
    <cellStyle name="Normal 4 3 2 2 2 3 4" xfId="27048" xr:uid="{00000000-0005-0000-0000-0000EC560000}"/>
    <cellStyle name="Normal 4 3 2 2 2 4" xfId="6563" xr:uid="{00000000-0005-0000-0000-0000ED560000}"/>
    <cellStyle name="Normal 4 3 2 2 2 4 2" xfId="27050" xr:uid="{00000000-0005-0000-0000-0000EE560000}"/>
    <cellStyle name="Normal 4 3 2 2 2 5" xfId="21257" xr:uid="{00000000-0005-0000-0000-0000EF560000}"/>
    <cellStyle name="Normal 4 3 2 2 2 6" xfId="27045" xr:uid="{00000000-0005-0000-0000-0000F0560000}"/>
    <cellStyle name="Normal 4 3 2 2 3" xfId="5465" xr:uid="{00000000-0005-0000-0000-0000F1560000}"/>
    <cellStyle name="Normal 4 3 2 2 3 2" xfId="6566" xr:uid="{00000000-0005-0000-0000-0000F2560000}"/>
    <cellStyle name="Normal 4 3 2 2 3 2 2" xfId="21263" xr:uid="{00000000-0005-0000-0000-0000F3560000}"/>
    <cellStyle name="Normal 4 3 2 2 3 2 3" xfId="21262" xr:uid="{00000000-0005-0000-0000-0000F4560000}"/>
    <cellStyle name="Normal 4 3 2 2 3 2 4" xfId="27052" xr:uid="{00000000-0005-0000-0000-0000F5560000}"/>
    <cellStyle name="Normal 4 3 2 2 3 3" xfId="21264" xr:uid="{00000000-0005-0000-0000-0000F6560000}"/>
    <cellStyle name="Normal 4 3 2 2 3 3 2" xfId="21265" xr:uid="{00000000-0005-0000-0000-0000F7560000}"/>
    <cellStyle name="Normal 4 3 2 2 3 4" xfId="21266" xr:uid="{00000000-0005-0000-0000-0000F8560000}"/>
    <cellStyle name="Normal 4 3 2 2 3 5" xfId="21261" xr:uid="{00000000-0005-0000-0000-0000F9560000}"/>
    <cellStyle name="Normal 4 3 2 2 3 6" xfId="27051" xr:uid="{00000000-0005-0000-0000-0000FA560000}"/>
    <cellStyle name="Normal 4 3 2 2 4" xfId="5775" xr:uid="{00000000-0005-0000-0000-0000FB560000}"/>
    <cellStyle name="Normal 4 3 2 2 4 2" xfId="6567" xr:uid="{00000000-0005-0000-0000-0000FC560000}"/>
    <cellStyle name="Normal 4 3 2 2 4 2 2" xfId="21268" xr:uid="{00000000-0005-0000-0000-0000FD560000}"/>
    <cellStyle name="Normal 4 3 2 2 4 2 3" xfId="27054" xr:uid="{00000000-0005-0000-0000-0000FE560000}"/>
    <cellStyle name="Normal 4 3 2 2 4 3" xfId="21267" xr:uid="{00000000-0005-0000-0000-0000FF560000}"/>
    <cellStyle name="Normal 4 3 2 2 4 4" xfId="27053" xr:uid="{00000000-0005-0000-0000-000000570000}"/>
    <cellStyle name="Normal 4 3 2 2 5" xfId="4892" xr:uid="{00000000-0005-0000-0000-000001570000}"/>
    <cellStyle name="Normal 4 3 2 2 5 2" xfId="6568" xr:uid="{00000000-0005-0000-0000-000002570000}"/>
    <cellStyle name="Normal 4 3 2 2 5 2 2" xfId="21270" xr:uid="{00000000-0005-0000-0000-000003570000}"/>
    <cellStyle name="Normal 4 3 2 2 5 2 3" xfId="27056" xr:uid="{00000000-0005-0000-0000-000004570000}"/>
    <cellStyle name="Normal 4 3 2 2 5 3" xfId="21269" xr:uid="{00000000-0005-0000-0000-000005570000}"/>
    <cellStyle name="Normal 4 3 2 2 5 4" xfId="27055" xr:uid="{00000000-0005-0000-0000-000006570000}"/>
    <cellStyle name="Normal 4 3 2 2 6" xfId="6562" xr:uid="{00000000-0005-0000-0000-000007570000}"/>
    <cellStyle name="Normal 4 3 2 2 6 2" xfId="21271" xr:uid="{00000000-0005-0000-0000-000008570000}"/>
    <cellStyle name="Normal 4 3 2 2 6 3" xfId="27057" xr:uid="{00000000-0005-0000-0000-000009570000}"/>
    <cellStyle name="Normal 4 3 2 2 7" xfId="21256" xr:uid="{00000000-0005-0000-0000-00000A570000}"/>
    <cellStyle name="Normal 4 3 2 2 8" xfId="25039" xr:uid="{00000000-0005-0000-0000-00000B570000}"/>
    <cellStyle name="Normal 4 3 2 2 9" xfId="27044" xr:uid="{00000000-0005-0000-0000-00000C570000}"/>
    <cellStyle name="Normal 4 3 2 3" xfId="4894" xr:uid="{00000000-0005-0000-0000-00000D570000}"/>
    <cellStyle name="Normal 4 3 2 3 2" xfId="5467" xr:uid="{00000000-0005-0000-0000-00000E570000}"/>
    <cellStyle name="Normal 4 3 2 3 2 2" xfId="6570" xr:uid="{00000000-0005-0000-0000-00000F570000}"/>
    <cellStyle name="Normal 4 3 2 3 2 2 2" xfId="21274" xr:uid="{00000000-0005-0000-0000-000010570000}"/>
    <cellStyle name="Normal 4 3 2 3 2 2 3" xfId="27060" xr:uid="{00000000-0005-0000-0000-000011570000}"/>
    <cellStyle name="Normal 4 3 2 3 2 3" xfId="21273" xr:uid="{00000000-0005-0000-0000-000012570000}"/>
    <cellStyle name="Normal 4 3 2 3 2 4" xfId="27059" xr:uid="{00000000-0005-0000-0000-000013570000}"/>
    <cellStyle name="Normal 4 3 2 3 3" xfId="5777" xr:uid="{00000000-0005-0000-0000-000014570000}"/>
    <cellStyle name="Normal 4 3 2 3 3 2" xfId="6571" xr:uid="{00000000-0005-0000-0000-000015570000}"/>
    <cellStyle name="Normal 4 3 2 3 3 2 2" xfId="27062" xr:uid="{00000000-0005-0000-0000-000016570000}"/>
    <cellStyle name="Normal 4 3 2 3 3 3" xfId="21275" xr:uid="{00000000-0005-0000-0000-000017570000}"/>
    <cellStyle name="Normal 4 3 2 3 3 4" xfId="27061" xr:uid="{00000000-0005-0000-0000-000018570000}"/>
    <cellStyle name="Normal 4 3 2 3 4" xfId="6569" xr:uid="{00000000-0005-0000-0000-000019570000}"/>
    <cellStyle name="Normal 4 3 2 3 4 2" xfId="27063" xr:uid="{00000000-0005-0000-0000-00001A570000}"/>
    <cellStyle name="Normal 4 3 2 3 5" xfId="21272" xr:uid="{00000000-0005-0000-0000-00001B570000}"/>
    <cellStyle name="Normal 4 3 2 3 6" xfId="27058" xr:uid="{00000000-0005-0000-0000-00001C570000}"/>
    <cellStyle name="Normal 4 3 2 4" xfId="5464" xr:uid="{00000000-0005-0000-0000-00001D570000}"/>
    <cellStyle name="Normal 4 3 2 4 2" xfId="6572" xr:uid="{00000000-0005-0000-0000-00001E570000}"/>
    <cellStyle name="Normal 4 3 2 4 2 2" xfId="21277" xr:uid="{00000000-0005-0000-0000-00001F570000}"/>
    <cellStyle name="Normal 4 3 2 4 2 3" xfId="27065" xr:uid="{00000000-0005-0000-0000-000020570000}"/>
    <cellStyle name="Normal 4 3 2 4 3" xfId="21276" xr:uid="{00000000-0005-0000-0000-000021570000}"/>
    <cellStyle name="Normal 4 3 2 4 4" xfId="27064" xr:uid="{00000000-0005-0000-0000-000022570000}"/>
    <cellStyle name="Normal 4 3 2 5" xfId="5774" xr:uid="{00000000-0005-0000-0000-000023570000}"/>
    <cellStyle name="Normal 4 3 2 5 2" xfId="6573" xr:uid="{00000000-0005-0000-0000-000024570000}"/>
    <cellStyle name="Normal 4 3 2 5 2 2" xfId="21280" xr:uid="{00000000-0005-0000-0000-000025570000}"/>
    <cellStyle name="Normal 4 3 2 5 2 3" xfId="21279" xr:uid="{00000000-0005-0000-0000-000026570000}"/>
    <cellStyle name="Normal 4 3 2 5 2 4" xfId="27067" xr:uid="{00000000-0005-0000-0000-000027570000}"/>
    <cellStyle name="Normal 4 3 2 5 3" xfId="21281" xr:uid="{00000000-0005-0000-0000-000028570000}"/>
    <cellStyle name="Normal 4 3 2 5 3 2" xfId="21282" xr:uid="{00000000-0005-0000-0000-000029570000}"/>
    <cellStyle name="Normal 4 3 2 5 4" xfId="21283" xr:uid="{00000000-0005-0000-0000-00002A570000}"/>
    <cellStyle name="Normal 4 3 2 5 5" xfId="21278" xr:uid="{00000000-0005-0000-0000-00002B570000}"/>
    <cellStyle name="Normal 4 3 2 5 6" xfId="27066" xr:uid="{00000000-0005-0000-0000-00002C570000}"/>
    <cellStyle name="Normal 4 3 2 6" xfId="4891" xr:uid="{00000000-0005-0000-0000-00002D570000}"/>
    <cellStyle name="Normal 4 3 2 6 2" xfId="6574" xr:uid="{00000000-0005-0000-0000-00002E570000}"/>
    <cellStyle name="Normal 4 3 2 6 2 2" xfId="21285" xr:uid="{00000000-0005-0000-0000-00002F570000}"/>
    <cellStyle name="Normal 4 3 2 6 2 3" xfId="27069" xr:uid="{00000000-0005-0000-0000-000030570000}"/>
    <cellStyle name="Normal 4 3 2 6 3" xfId="21284" xr:uid="{00000000-0005-0000-0000-000031570000}"/>
    <cellStyle name="Normal 4 3 2 6 4" xfId="27068" xr:uid="{00000000-0005-0000-0000-000032570000}"/>
    <cellStyle name="Normal 4 3 2 7" xfId="6561" xr:uid="{00000000-0005-0000-0000-000033570000}"/>
    <cellStyle name="Normal 4 3 2 7 2" xfId="21287" xr:uid="{00000000-0005-0000-0000-000034570000}"/>
    <cellStyle name="Normal 4 3 2 7 3" xfId="21286" xr:uid="{00000000-0005-0000-0000-000035570000}"/>
    <cellStyle name="Normal 4 3 2 7 4" xfId="27070" xr:uid="{00000000-0005-0000-0000-000036570000}"/>
    <cellStyle name="Normal 4 3 2 8" xfId="21288" xr:uid="{00000000-0005-0000-0000-000037570000}"/>
    <cellStyle name="Normal 4 3 2 9" xfId="21255" xr:uid="{00000000-0005-0000-0000-000038570000}"/>
    <cellStyle name="Normal 4 3 3" xfId="1659" xr:uid="{00000000-0005-0000-0000-000039570000}"/>
    <cellStyle name="Normal 4 3 3 10" xfId="27071" xr:uid="{00000000-0005-0000-0000-00003A570000}"/>
    <cellStyle name="Normal 4 3 3 2" xfId="4196" xr:uid="{00000000-0005-0000-0000-00003B570000}"/>
    <cellStyle name="Normal 4 3 3 2 2" xfId="4897" xr:uid="{00000000-0005-0000-0000-00003C570000}"/>
    <cellStyle name="Normal 4 3 3 2 2 2" xfId="5470" xr:uid="{00000000-0005-0000-0000-00003D570000}"/>
    <cellStyle name="Normal 4 3 3 2 2 2 2" xfId="6578" xr:uid="{00000000-0005-0000-0000-00003E570000}"/>
    <cellStyle name="Normal 4 3 3 2 2 2 2 2" xfId="21293" xr:uid="{00000000-0005-0000-0000-00003F570000}"/>
    <cellStyle name="Normal 4 3 3 2 2 2 2 3" xfId="27075" xr:uid="{00000000-0005-0000-0000-000040570000}"/>
    <cellStyle name="Normal 4 3 3 2 2 2 3" xfId="21292" xr:uid="{00000000-0005-0000-0000-000041570000}"/>
    <cellStyle name="Normal 4 3 3 2 2 2 4" xfId="27074" xr:uid="{00000000-0005-0000-0000-000042570000}"/>
    <cellStyle name="Normal 4 3 3 2 2 3" xfId="5780" xr:uid="{00000000-0005-0000-0000-000043570000}"/>
    <cellStyle name="Normal 4 3 3 2 2 3 2" xfId="6579" xr:uid="{00000000-0005-0000-0000-000044570000}"/>
    <cellStyle name="Normal 4 3 3 2 2 3 2 2" xfId="21295" xr:uid="{00000000-0005-0000-0000-000045570000}"/>
    <cellStyle name="Normal 4 3 3 2 2 3 2 3" xfId="27077" xr:uid="{00000000-0005-0000-0000-000046570000}"/>
    <cellStyle name="Normal 4 3 3 2 2 3 3" xfId="21294" xr:uid="{00000000-0005-0000-0000-000047570000}"/>
    <cellStyle name="Normal 4 3 3 2 2 3 4" xfId="27076" xr:uid="{00000000-0005-0000-0000-000048570000}"/>
    <cellStyle name="Normal 4 3 3 2 2 4" xfId="6577" xr:uid="{00000000-0005-0000-0000-000049570000}"/>
    <cellStyle name="Normal 4 3 3 2 2 4 2" xfId="21296" xr:uid="{00000000-0005-0000-0000-00004A570000}"/>
    <cellStyle name="Normal 4 3 3 2 2 4 3" xfId="27078" xr:uid="{00000000-0005-0000-0000-00004B570000}"/>
    <cellStyle name="Normal 4 3 3 2 2 5" xfId="21291" xr:uid="{00000000-0005-0000-0000-00004C570000}"/>
    <cellStyle name="Normal 4 3 3 2 2 6" xfId="27073" xr:uid="{00000000-0005-0000-0000-00004D570000}"/>
    <cellStyle name="Normal 4 3 3 2 3" xfId="5469" xr:uid="{00000000-0005-0000-0000-00004E570000}"/>
    <cellStyle name="Normal 4 3 3 2 3 2" xfId="6580" xr:uid="{00000000-0005-0000-0000-00004F570000}"/>
    <cellStyle name="Normal 4 3 3 2 3 2 2" xfId="21298" xr:uid="{00000000-0005-0000-0000-000050570000}"/>
    <cellStyle name="Normal 4 3 3 2 3 2 3" xfId="27080" xr:uid="{00000000-0005-0000-0000-000051570000}"/>
    <cellStyle name="Normal 4 3 3 2 3 3" xfId="21297" xr:uid="{00000000-0005-0000-0000-000052570000}"/>
    <cellStyle name="Normal 4 3 3 2 3 4" xfId="27079" xr:uid="{00000000-0005-0000-0000-000053570000}"/>
    <cellStyle name="Normal 4 3 3 2 4" xfId="5779" xr:uid="{00000000-0005-0000-0000-000054570000}"/>
    <cellStyle name="Normal 4 3 3 2 4 2" xfId="6581" xr:uid="{00000000-0005-0000-0000-000055570000}"/>
    <cellStyle name="Normal 4 3 3 2 4 2 2" xfId="21300" xr:uid="{00000000-0005-0000-0000-000056570000}"/>
    <cellStyle name="Normal 4 3 3 2 4 2 3" xfId="27082" xr:uid="{00000000-0005-0000-0000-000057570000}"/>
    <cellStyle name="Normal 4 3 3 2 4 3" xfId="21299" xr:uid="{00000000-0005-0000-0000-000058570000}"/>
    <cellStyle name="Normal 4 3 3 2 4 4" xfId="27081" xr:uid="{00000000-0005-0000-0000-000059570000}"/>
    <cellStyle name="Normal 4 3 3 2 5" xfId="4896" xr:uid="{00000000-0005-0000-0000-00005A570000}"/>
    <cellStyle name="Normal 4 3 3 2 5 2" xfId="6582" xr:uid="{00000000-0005-0000-0000-00005B570000}"/>
    <cellStyle name="Normal 4 3 3 2 5 2 2" xfId="27084" xr:uid="{00000000-0005-0000-0000-00005C570000}"/>
    <cellStyle name="Normal 4 3 3 2 5 3" xfId="21301" xr:uid="{00000000-0005-0000-0000-00005D570000}"/>
    <cellStyle name="Normal 4 3 3 2 5 4" xfId="27083" xr:uid="{00000000-0005-0000-0000-00005E570000}"/>
    <cellStyle name="Normal 4 3 3 2 6" xfId="6576" xr:uid="{00000000-0005-0000-0000-00005F570000}"/>
    <cellStyle name="Normal 4 3 3 2 6 2" xfId="27085" xr:uid="{00000000-0005-0000-0000-000060570000}"/>
    <cellStyle name="Normal 4 3 3 2 7" xfId="21290" xr:uid="{00000000-0005-0000-0000-000061570000}"/>
    <cellStyle name="Normal 4 3 3 2 8" xfId="25048" xr:uid="{00000000-0005-0000-0000-000062570000}"/>
    <cellStyle name="Normal 4 3 3 2 9" xfId="27072" xr:uid="{00000000-0005-0000-0000-000063570000}"/>
    <cellStyle name="Normal 4 3 3 3" xfId="4898" xr:uid="{00000000-0005-0000-0000-000064570000}"/>
    <cellStyle name="Normal 4 3 3 3 2" xfId="5471" xr:uid="{00000000-0005-0000-0000-000065570000}"/>
    <cellStyle name="Normal 4 3 3 3 2 2" xfId="6584" xr:uid="{00000000-0005-0000-0000-000066570000}"/>
    <cellStyle name="Normal 4 3 3 3 2 2 2" xfId="21304" xr:uid="{00000000-0005-0000-0000-000067570000}"/>
    <cellStyle name="Normal 4 3 3 3 2 2 3" xfId="27088" xr:uid="{00000000-0005-0000-0000-000068570000}"/>
    <cellStyle name="Normal 4 3 3 3 2 3" xfId="21303" xr:uid="{00000000-0005-0000-0000-000069570000}"/>
    <cellStyle name="Normal 4 3 3 3 2 4" xfId="27087" xr:uid="{00000000-0005-0000-0000-00006A570000}"/>
    <cellStyle name="Normal 4 3 3 3 3" xfId="5781" xr:uid="{00000000-0005-0000-0000-00006B570000}"/>
    <cellStyle name="Normal 4 3 3 3 3 2" xfId="6585" xr:uid="{00000000-0005-0000-0000-00006C570000}"/>
    <cellStyle name="Normal 4 3 3 3 3 2 2" xfId="27090" xr:uid="{00000000-0005-0000-0000-00006D570000}"/>
    <cellStyle name="Normal 4 3 3 3 3 3" xfId="21305" xr:uid="{00000000-0005-0000-0000-00006E570000}"/>
    <cellStyle name="Normal 4 3 3 3 3 4" xfId="27089" xr:uid="{00000000-0005-0000-0000-00006F570000}"/>
    <cellStyle name="Normal 4 3 3 3 4" xfId="6583" xr:uid="{00000000-0005-0000-0000-000070570000}"/>
    <cellStyle name="Normal 4 3 3 3 4 2" xfId="27091" xr:uid="{00000000-0005-0000-0000-000071570000}"/>
    <cellStyle name="Normal 4 3 3 3 5" xfId="21302" xr:uid="{00000000-0005-0000-0000-000072570000}"/>
    <cellStyle name="Normal 4 3 3 3 6" xfId="27086" xr:uid="{00000000-0005-0000-0000-000073570000}"/>
    <cellStyle name="Normal 4 3 3 4" xfId="5468" xr:uid="{00000000-0005-0000-0000-000074570000}"/>
    <cellStyle name="Normal 4 3 3 4 2" xfId="6586" xr:uid="{00000000-0005-0000-0000-000075570000}"/>
    <cellStyle name="Normal 4 3 3 4 2 2" xfId="21308" xr:uid="{00000000-0005-0000-0000-000076570000}"/>
    <cellStyle name="Normal 4 3 3 4 2 3" xfId="21307" xr:uid="{00000000-0005-0000-0000-000077570000}"/>
    <cellStyle name="Normal 4 3 3 4 2 4" xfId="27093" xr:uid="{00000000-0005-0000-0000-000078570000}"/>
    <cellStyle name="Normal 4 3 3 4 3" xfId="21309" xr:uid="{00000000-0005-0000-0000-000079570000}"/>
    <cellStyle name="Normal 4 3 3 4 3 2" xfId="21310" xr:uid="{00000000-0005-0000-0000-00007A570000}"/>
    <cellStyle name="Normal 4 3 3 4 4" xfId="21311" xr:uid="{00000000-0005-0000-0000-00007B570000}"/>
    <cellStyle name="Normal 4 3 3 4 5" xfId="21306" xr:uid="{00000000-0005-0000-0000-00007C570000}"/>
    <cellStyle name="Normal 4 3 3 4 6" xfId="27092" xr:uid="{00000000-0005-0000-0000-00007D570000}"/>
    <cellStyle name="Normal 4 3 3 5" xfId="5778" xr:uid="{00000000-0005-0000-0000-00007E570000}"/>
    <cellStyle name="Normal 4 3 3 5 2" xfId="6587" xr:uid="{00000000-0005-0000-0000-00007F570000}"/>
    <cellStyle name="Normal 4 3 3 5 2 2" xfId="21313" xr:uid="{00000000-0005-0000-0000-000080570000}"/>
    <cellStyle name="Normal 4 3 3 5 2 3" xfId="27095" xr:uid="{00000000-0005-0000-0000-000081570000}"/>
    <cellStyle name="Normal 4 3 3 5 3" xfId="21312" xr:uid="{00000000-0005-0000-0000-000082570000}"/>
    <cellStyle name="Normal 4 3 3 5 4" xfId="27094" xr:uid="{00000000-0005-0000-0000-000083570000}"/>
    <cellStyle name="Normal 4 3 3 6" xfId="4895" xr:uid="{00000000-0005-0000-0000-000084570000}"/>
    <cellStyle name="Normal 4 3 3 6 2" xfId="6588" xr:uid="{00000000-0005-0000-0000-000085570000}"/>
    <cellStyle name="Normal 4 3 3 6 2 2" xfId="21315" xr:uid="{00000000-0005-0000-0000-000086570000}"/>
    <cellStyle name="Normal 4 3 3 6 2 3" xfId="27097" xr:uid="{00000000-0005-0000-0000-000087570000}"/>
    <cellStyle name="Normal 4 3 3 6 3" xfId="21314" xr:uid="{00000000-0005-0000-0000-000088570000}"/>
    <cellStyle name="Normal 4 3 3 6 4" xfId="27096" xr:uid="{00000000-0005-0000-0000-000089570000}"/>
    <cellStyle name="Normal 4 3 3 7" xfId="6575" xr:uid="{00000000-0005-0000-0000-00008A570000}"/>
    <cellStyle name="Normal 4 3 3 7 2" xfId="21316" xr:uid="{00000000-0005-0000-0000-00008B570000}"/>
    <cellStyle name="Normal 4 3 3 7 3" xfId="27098" xr:uid="{00000000-0005-0000-0000-00008C570000}"/>
    <cellStyle name="Normal 4 3 3 8" xfId="21289" xr:uid="{00000000-0005-0000-0000-00008D570000}"/>
    <cellStyle name="Normal 4 3 3 9" xfId="24928" xr:uid="{00000000-0005-0000-0000-00008E570000}"/>
    <cellStyle name="Normal 4 3 4" xfId="3623" xr:uid="{00000000-0005-0000-0000-00008F570000}"/>
    <cellStyle name="Normal 4 3 4 10" xfId="27099" xr:uid="{00000000-0005-0000-0000-000090570000}"/>
    <cellStyle name="Normal 4 3 4 2" xfId="4201" xr:uid="{00000000-0005-0000-0000-000091570000}"/>
    <cellStyle name="Normal 4 3 4 2 2" xfId="4901" xr:uid="{00000000-0005-0000-0000-000092570000}"/>
    <cellStyle name="Normal 4 3 4 2 2 2" xfId="5474" xr:uid="{00000000-0005-0000-0000-000093570000}"/>
    <cellStyle name="Normal 4 3 4 2 2 2 2" xfId="6592" xr:uid="{00000000-0005-0000-0000-000094570000}"/>
    <cellStyle name="Normal 4 3 4 2 2 2 2 2" xfId="21321" xr:uid="{00000000-0005-0000-0000-000095570000}"/>
    <cellStyle name="Normal 4 3 4 2 2 2 2 3" xfId="27103" xr:uid="{00000000-0005-0000-0000-000096570000}"/>
    <cellStyle name="Normal 4 3 4 2 2 2 3" xfId="21320" xr:uid="{00000000-0005-0000-0000-000097570000}"/>
    <cellStyle name="Normal 4 3 4 2 2 2 4" xfId="27102" xr:uid="{00000000-0005-0000-0000-000098570000}"/>
    <cellStyle name="Normal 4 3 4 2 2 3" xfId="5784" xr:uid="{00000000-0005-0000-0000-000099570000}"/>
    <cellStyle name="Normal 4 3 4 2 2 3 2" xfId="6593" xr:uid="{00000000-0005-0000-0000-00009A570000}"/>
    <cellStyle name="Normal 4 3 4 2 2 3 2 2" xfId="21323" xr:uid="{00000000-0005-0000-0000-00009B570000}"/>
    <cellStyle name="Normal 4 3 4 2 2 3 2 3" xfId="27105" xr:uid="{00000000-0005-0000-0000-00009C570000}"/>
    <cellStyle name="Normal 4 3 4 2 2 3 3" xfId="21322" xr:uid="{00000000-0005-0000-0000-00009D570000}"/>
    <cellStyle name="Normal 4 3 4 2 2 3 4" xfId="27104" xr:uid="{00000000-0005-0000-0000-00009E570000}"/>
    <cellStyle name="Normal 4 3 4 2 2 4" xfId="6591" xr:uid="{00000000-0005-0000-0000-00009F570000}"/>
    <cellStyle name="Normal 4 3 4 2 2 4 2" xfId="21324" xr:uid="{00000000-0005-0000-0000-0000A0570000}"/>
    <cellStyle name="Normal 4 3 4 2 2 4 3" xfId="27106" xr:uid="{00000000-0005-0000-0000-0000A1570000}"/>
    <cellStyle name="Normal 4 3 4 2 2 5" xfId="21319" xr:uid="{00000000-0005-0000-0000-0000A2570000}"/>
    <cellStyle name="Normal 4 3 4 2 2 6" xfId="27101" xr:uid="{00000000-0005-0000-0000-0000A3570000}"/>
    <cellStyle name="Normal 4 3 4 2 3" xfId="5473" xr:uid="{00000000-0005-0000-0000-0000A4570000}"/>
    <cellStyle name="Normal 4 3 4 2 3 2" xfId="6594" xr:uid="{00000000-0005-0000-0000-0000A5570000}"/>
    <cellStyle name="Normal 4 3 4 2 3 2 2" xfId="21326" xr:uid="{00000000-0005-0000-0000-0000A6570000}"/>
    <cellStyle name="Normal 4 3 4 2 3 2 3" xfId="27108" xr:uid="{00000000-0005-0000-0000-0000A7570000}"/>
    <cellStyle name="Normal 4 3 4 2 3 3" xfId="21325" xr:uid="{00000000-0005-0000-0000-0000A8570000}"/>
    <cellStyle name="Normal 4 3 4 2 3 4" xfId="27107" xr:uid="{00000000-0005-0000-0000-0000A9570000}"/>
    <cellStyle name="Normal 4 3 4 2 4" xfId="5783" xr:uid="{00000000-0005-0000-0000-0000AA570000}"/>
    <cellStyle name="Normal 4 3 4 2 4 2" xfId="6595" xr:uid="{00000000-0005-0000-0000-0000AB570000}"/>
    <cellStyle name="Normal 4 3 4 2 4 2 2" xfId="21328" xr:uid="{00000000-0005-0000-0000-0000AC570000}"/>
    <cellStyle name="Normal 4 3 4 2 4 2 3" xfId="27110" xr:uid="{00000000-0005-0000-0000-0000AD570000}"/>
    <cellStyle name="Normal 4 3 4 2 4 3" xfId="21327" xr:uid="{00000000-0005-0000-0000-0000AE570000}"/>
    <cellStyle name="Normal 4 3 4 2 4 4" xfId="27109" xr:uid="{00000000-0005-0000-0000-0000AF570000}"/>
    <cellStyle name="Normal 4 3 4 2 5" xfId="4900" xr:uid="{00000000-0005-0000-0000-0000B0570000}"/>
    <cellStyle name="Normal 4 3 4 2 5 2" xfId="6596" xr:uid="{00000000-0005-0000-0000-0000B1570000}"/>
    <cellStyle name="Normal 4 3 4 2 5 2 2" xfId="27112" xr:uid="{00000000-0005-0000-0000-0000B2570000}"/>
    <cellStyle name="Normal 4 3 4 2 5 3" xfId="21329" xr:uid="{00000000-0005-0000-0000-0000B3570000}"/>
    <cellStyle name="Normal 4 3 4 2 5 4" xfId="27111" xr:uid="{00000000-0005-0000-0000-0000B4570000}"/>
    <cellStyle name="Normal 4 3 4 2 6" xfId="6590" xr:uid="{00000000-0005-0000-0000-0000B5570000}"/>
    <cellStyle name="Normal 4 3 4 2 6 2" xfId="27113" xr:uid="{00000000-0005-0000-0000-0000B6570000}"/>
    <cellStyle name="Normal 4 3 4 2 7" xfId="21318" xr:uid="{00000000-0005-0000-0000-0000B7570000}"/>
    <cellStyle name="Normal 4 3 4 2 8" xfId="25053" xr:uid="{00000000-0005-0000-0000-0000B8570000}"/>
    <cellStyle name="Normal 4 3 4 2 9" xfId="27100" xr:uid="{00000000-0005-0000-0000-0000B9570000}"/>
    <cellStyle name="Normal 4 3 4 3" xfId="4902" xr:uid="{00000000-0005-0000-0000-0000BA570000}"/>
    <cellStyle name="Normal 4 3 4 3 2" xfId="5475" xr:uid="{00000000-0005-0000-0000-0000BB570000}"/>
    <cellStyle name="Normal 4 3 4 3 2 2" xfId="6598" xr:uid="{00000000-0005-0000-0000-0000BC570000}"/>
    <cellStyle name="Normal 4 3 4 3 2 2 2" xfId="21332" xr:uid="{00000000-0005-0000-0000-0000BD570000}"/>
    <cellStyle name="Normal 4 3 4 3 2 2 3" xfId="27116" xr:uid="{00000000-0005-0000-0000-0000BE570000}"/>
    <cellStyle name="Normal 4 3 4 3 2 3" xfId="21331" xr:uid="{00000000-0005-0000-0000-0000BF570000}"/>
    <cellStyle name="Normal 4 3 4 3 2 4" xfId="27115" xr:uid="{00000000-0005-0000-0000-0000C0570000}"/>
    <cellStyle name="Normal 4 3 4 3 3" xfId="5785" xr:uid="{00000000-0005-0000-0000-0000C1570000}"/>
    <cellStyle name="Normal 4 3 4 3 3 2" xfId="6599" xr:uid="{00000000-0005-0000-0000-0000C2570000}"/>
    <cellStyle name="Normal 4 3 4 3 3 2 2" xfId="27118" xr:uid="{00000000-0005-0000-0000-0000C3570000}"/>
    <cellStyle name="Normal 4 3 4 3 3 3" xfId="21333" xr:uid="{00000000-0005-0000-0000-0000C4570000}"/>
    <cellStyle name="Normal 4 3 4 3 3 4" xfId="27117" xr:uid="{00000000-0005-0000-0000-0000C5570000}"/>
    <cellStyle name="Normal 4 3 4 3 4" xfId="6597" xr:uid="{00000000-0005-0000-0000-0000C6570000}"/>
    <cellStyle name="Normal 4 3 4 3 4 2" xfId="27119" xr:uid="{00000000-0005-0000-0000-0000C7570000}"/>
    <cellStyle name="Normal 4 3 4 3 5" xfId="21330" xr:uid="{00000000-0005-0000-0000-0000C8570000}"/>
    <cellStyle name="Normal 4 3 4 3 6" xfId="27114" xr:uid="{00000000-0005-0000-0000-0000C9570000}"/>
    <cellStyle name="Normal 4 3 4 4" xfId="5472" xr:uid="{00000000-0005-0000-0000-0000CA570000}"/>
    <cellStyle name="Normal 4 3 4 4 2" xfId="6600" xr:uid="{00000000-0005-0000-0000-0000CB570000}"/>
    <cellStyle name="Normal 4 3 4 4 2 2" xfId="21336" xr:uid="{00000000-0005-0000-0000-0000CC570000}"/>
    <cellStyle name="Normal 4 3 4 4 2 3" xfId="21335" xr:uid="{00000000-0005-0000-0000-0000CD570000}"/>
    <cellStyle name="Normal 4 3 4 4 2 4" xfId="27121" xr:uid="{00000000-0005-0000-0000-0000CE570000}"/>
    <cellStyle name="Normal 4 3 4 4 3" xfId="21337" xr:uid="{00000000-0005-0000-0000-0000CF570000}"/>
    <cellStyle name="Normal 4 3 4 4 3 2" xfId="21338" xr:uid="{00000000-0005-0000-0000-0000D0570000}"/>
    <cellStyle name="Normal 4 3 4 4 4" xfId="21339" xr:uid="{00000000-0005-0000-0000-0000D1570000}"/>
    <cellStyle name="Normal 4 3 4 4 5" xfId="21334" xr:uid="{00000000-0005-0000-0000-0000D2570000}"/>
    <cellStyle name="Normal 4 3 4 4 6" xfId="27120" xr:uid="{00000000-0005-0000-0000-0000D3570000}"/>
    <cellStyle name="Normal 4 3 4 5" xfId="5782" xr:uid="{00000000-0005-0000-0000-0000D4570000}"/>
    <cellStyle name="Normal 4 3 4 5 2" xfId="6601" xr:uid="{00000000-0005-0000-0000-0000D5570000}"/>
    <cellStyle name="Normal 4 3 4 5 2 2" xfId="21341" xr:uid="{00000000-0005-0000-0000-0000D6570000}"/>
    <cellStyle name="Normal 4 3 4 5 2 3" xfId="27123" xr:uid="{00000000-0005-0000-0000-0000D7570000}"/>
    <cellStyle name="Normal 4 3 4 5 3" xfId="21340" xr:uid="{00000000-0005-0000-0000-0000D8570000}"/>
    <cellStyle name="Normal 4 3 4 5 4" xfId="27122" xr:uid="{00000000-0005-0000-0000-0000D9570000}"/>
    <cellStyle name="Normal 4 3 4 6" xfId="4899" xr:uid="{00000000-0005-0000-0000-0000DA570000}"/>
    <cellStyle name="Normal 4 3 4 6 2" xfId="6602" xr:uid="{00000000-0005-0000-0000-0000DB570000}"/>
    <cellStyle name="Normal 4 3 4 6 2 2" xfId="21343" xr:uid="{00000000-0005-0000-0000-0000DC570000}"/>
    <cellStyle name="Normal 4 3 4 6 2 3" xfId="27125" xr:uid="{00000000-0005-0000-0000-0000DD570000}"/>
    <cellStyle name="Normal 4 3 4 6 3" xfId="21342" xr:uid="{00000000-0005-0000-0000-0000DE570000}"/>
    <cellStyle name="Normal 4 3 4 6 4" xfId="27124" xr:uid="{00000000-0005-0000-0000-0000DF570000}"/>
    <cellStyle name="Normal 4 3 4 7" xfId="6589" xr:uid="{00000000-0005-0000-0000-0000E0570000}"/>
    <cellStyle name="Normal 4 3 4 7 2" xfId="21344" xr:uid="{00000000-0005-0000-0000-0000E1570000}"/>
    <cellStyle name="Normal 4 3 4 7 3" xfId="27126" xr:uid="{00000000-0005-0000-0000-0000E2570000}"/>
    <cellStyle name="Normal 4 3 4 8" xfId="21317" xr:uid="{00000000-0005-0000-0000-0000E3570000}"/>
    <cellStyle name="Normal 4 3 4 9" xfId="24933" xr:uid="{00000000-0005-0000-0000-0000E4570000}"/>
    <cellStyle name="Normal 4 3 5" xfId="3760" xr:uid="{00000000-0005-0000-0000-0000E5570000}"/>
    <cellStyle name="Normal 4 3 5 10" xfId="27127" xr:uid="{00000000-0005-0000-0000-0000E6570000}"/>
    <cellStyle name="Normal 4 3 5 2" xfId="4209" xr:uid="{00000000-0005-0000-0000-0000E7570000}"/>
    <cellStyle name="Normal 4 3 5 2 2" xfId="4905" xr:uid="{00000000-0005-0000-0000-0000E8570000}"/>
    <cellStyle name="Normal 4 3 5 2 2 2" xfId="5478" xr:uid="{00000000-0005-0000-0000-0000E9570000}"/>
    <cellStyle name="Normal 4 3 5 2 2 2 2" xfId="6606" xr:uid="{00000000-0005-0000-0000-0000EA570000}"/>
    <cellStyle name="Normal 4 3 5 2 2 2 2 2" xfId="21349" xr:uid="{00000000-0005-0000-0000-0000EB570000}"/>
    <cellStyle name="Normal 4 3 5 2 2 2 2 3" xfId="27131" xr:uid="{00000000-0005-0000-0000-0000EC570000}"/>
    <cellStyle name="Normal 4 3 5 2 2 2 3" xfId="21348" xr:uid="{00000000-0005-0000-0000-0000ED570000}"/>
    <cellStyle name="Normal 4 3 5 2 2 2 4" xfId="27130" xr:uid="{00000000-0005-0000-0000-0000EE570000}"/>
    <cellStyle name="Normal 4 3 5 2 2 3" xfId="5788" xr:uid="{00000000-0005-0000-0000-0000EF570000}"/>
    <cellStyle name="Normal 4 3 5 2 2 3 2" xfId="6607" xr:uid="{00000000-0005-0000-0000-0000F0570000}"/>
    <cellStyle name="Normal 4 3 5 2 2 3 2 2" xfId="21351" xr:uid="{00000000-0005-0000-0000-0000F1570000}"/>
    <cellStyle name="Normal 4 3 5 2 2 3 2 3" xfId="27133" xr:uid="{00000000-0005-0000-0000-0000F2570000}"/>
    <cellStyle name="Normal 4 3 5 2 2 3 3" xfId="21350" xr:uid="{00000000-0005-0000-0000-0000F3570000}"/>
    <cellStyle name="Normal 4 3 5 2 2 3 4" xfId="27132" xr:uid="{00000000-0005-0000-0000-0000F4570000}"/>
    <cellStyle name="Normal 4 3 5 2 2 4" xfId="6605" xr:uid="{00000000-0005-0000-0000-0000F5570000}"/>
    <cellStyle name="Normal 4 3 5 2 2 4 2" xfId="21352" xr:uid="{00000000-0005-0000-0000-0000F6570000}"/>
    <cellStyle name="Normal 4 3 5 2 2 4 3" xfId="27134" xr:uid="{00000000-0005-0000-0000-0000F7570000}"/>
    <cellStyle name="Normal 4 3 5 2 2 5" xfId="21347" xr:uid="{00000000-0005-0000-0000-0000F8570000}"/>
    <cellStyle name="Normal 4 3 5 2 2 6" xfId="27129" xr:uid="{00000000-0005-0000-0000-0000F9570000}"/>
    <cellStyle name="Normal 4 3 5 2 3" xfId="5477" xr:uid="{00000000-0005-0000-0000-0000FA570000}"/>
    <cellStyle name="Normal 4 3 5 2 3 2" xfId="6608" xr:uid="{00000000-0005-0000-0000-0000FB570000}"/>
    <cellStyle name="Normal 4 3 5 2 3 2 2" xfId="21354" xr:uid="{00000000-0005-0000-0000-0000FC570000}"/>
    <cellStyle name="Normal 4 3 5 2 3 2 3" xfId="27136" xr:uid="{00000000-0005-0000-0000-0000FD570000}"/>
    <cellStyle name="Normal 4 3 5 2 3 3" xfId="21353" xr:uid="{00000000-0005-0000-0000-0000FE570000}"/>
    <cellStyle name="Normal 4 3 5 2 3 4" xfId="27135" xr:uid="{00000000-0005-0000-0000-0000FF570000}"/>
    <cellStyle name="Normal 4 3 5 2 4" xfId="5787" xr:uid="{00000000-0005-0000-0000-000000580000}"/>
    <cellStyle name="Normal 4 3 5 2 4 2" xfId="6609" xr:uid="{00000000-0005-0000-0000-000001580000}"/>
    <cellStyle name="Normal 4 3 5 2 4 2 2" xfId="21356" xr:uid="{00000000-0005-0000-0000-000002580000}"/>
    <cellStyle name="Normal 4 3 5 2 4 2 3" xfId="27138" xr:uid="{00000000-0005-0000-0000-000003580000}"/>
    <cellStyle name="Normal 4 3 5 2 4 3" xfId="21355" xr:uid="{00000000-0005-0000-0000-000004580000}"/>
    <cellStyle name="Normal 4 3 5 2 4 4" xfId="27137" xr:uid="{00000000-0005-0000-0000-000005580000}"/>
    <cellStyle name="Normal 4 3 5 2 5" xfId="4904" xr:uid="{00000000-0005-0000-0000-000006580000}"/>
    <cellStyle name="Normal 4 3 5 2 5 2" xfId="6610" xr:uid="{00000000-0005-0000-0000-000007580000}"/>
    <cellStyle name="Normal 4 3 5 2 5 2 2" xfId="27140" xr:uid="{00000000-0005-0000-0000-000008580000}"/>
    <cellStyle name="Normal 4 3 5 2 5 3" xfId="21357" xr:uid="{00000000-0005-0000-0000-000009580000}"/>
    <cellStyle name="Normal 4 3 5 2 5 4" xfId="27139" xr:uid="{00000000-0005-0000-0000-00000A580000}"/>
    <cellStyle name="Normal 4 3 5 2 6" xfId="6604" xr:uid="{00000000-0005-0000-0000-00000B580000}"/>
    <cellStyle name="Normal 4 3 5 2 6 2" xfId="27141" xr:uid="{00000000-0005-0000-0000-00000C580000}"/>
    <cellStyle name="Normal 4 3 5 2 7" xfId="21346" xr:uid="{00000000-0005-0000-0000-00000D580000}"/>
    <cellStyle name="Normal 4 3 5 2 8" xfId="25061" xr:uid="{00000000-0005-0000-0000-00000E580000}"/>
    <cellStyle name="Normal 4 3 5 2 9" xfId="27128" xr:uid="{00000000-0005-0000-0000-00000F580000}"/>
    <cellStyle name="Normal 4 3 5 3" xfId="4906" xr:uid="{00000000-0005-0000-0000-000010580000}"/>
    <cellStyle name="Normal 4 3 5 3 2" xfId="5479" xr:uid="{00000000-0005-0000-0000-000011580000}"/>
    <cellStyle name="Normal 4 3 5 3 2 2" xfId="6612" xr:uid="{00000000-0005-0000-0000-000012580000}"/>
    <cellStyle name="Normal 4 3 5 3 2 2 2" xfId="21360" xr:uid="{00000000-0005-0000-0000-000013580000}"/>
    <cellStyle name="Normal 4 3 5 3 2 2 3" xfId="27144" xr:uid="{00000000-0005-0000-0000-000014580000}"/>
    <cellStyle name="Normal 4 3 5 3 2 3" xfId="21359" xr:uid="{00000000-0005-0000-0000-000015580000}"/>
    <cellStyle name="Normal 4 3 5 3 2 4" xfId="27143" xr:uid="{00000000-0005-0000-0000-000016580000}"/>
    <cellStyle name="Normal 4 3 5 3 3" xfId="5789" xr:uid="{00000000-0005-0000-0000-000017580000}"/>
    <cellStyle name="Normal 4 3 5 3 3 2" xfId="6613" xr:uid="{00000000-0005-0000-0000-000018580000}"/>
    <cellStyle name="Normal 4 3 5 3 3 2 2" xfId="21362" xr:uid="{00000000-0005-0000-0000-000019580000}"/>
    <cellStyle name="Normal 4 3 5 3 3 2 3" xfId="27146" xr:uid="{00000000-0005-0000-0000-00001A580000}"/>
    <cellStyle name="Normal 4 3 5 3 3 3" xfId="21361" xr:uid="{00000000-0005-0000-0000-00001B580000}"/>
    <cellStyle name="Normal 4 3 5 3 3 4" xfId="27145" xr:uid="{00000000-0005-0000-0000-00001C580000}"/>
    <cellStyle name="Normal 4 3 5 3 4" xfId="6611" xr:uid="{00000000-0005-0000-0000-00001D580000}"/>
    <cellStyle name="Normal 4 3 5 3 4 2" xfId="21363" xr:uid="{00000000-0005-0000-0000-00001E580000}"/>
    <cellStyle name="Normal 4 3 5 3 4 3" xfId="27147" xr:uid="{00000000-0005-0000-0000-00001F580000}"/>
    <cellStyle name="Normal 4 3 5 3 5" xfId="21358" xr:uid="{00000000-0005-0000-0000-000020580000}"/>
    <cellStyle name="Normal 4 3 5 3 6" xfId="27142" xr:uid="{00000000-0005-0000-0000-000021580000}"/>
    <cellStyle name="Normal 4 3 5 4" xfId="5476" xr:uid="{00000000-0005-0000-0000-000022580000}"/>
    <cellStyle name="Normal 4 3 5 4 2" xfId="6614" xr:uid="{00000000-0005-0000-0000-000023580000}"/>
    <cellStyle name="Normal 4 3 5 4 2 2" xfId="21365" xr:uid="{00000000-0005-0000-0000-000024580000}"/>
    <cellStyle name="Normal 4 3 5 4 2 3" xfId="27149" xr:uid="{00000000-0005-0000-0000-000025580000}"/>
    <cellStyle name="Normal 4 3 5 4 3" xfId="21364" xr:uid="{00000000-0005-0000-0000-000026580000}"/>
    <cellStyle name="Normal 4 3 5 4 4" xfId="27148" xr:uid="{00000000-0005-0000-0000-000027580000}"/>
    <cellStyle name="Normal 4 3 5 5" xfId="5786" xr:uid="{00000000-0005-0000-0000-000028580000}"/>
    <cellStyle name="Normal 4 3 5 5 2" xfId="6615" xr:uid="{00000000-0005-0000-0000-000029580000}"/>
    <cellStyle name="Normal 4 3 5 5 2 2" xfId="21367" xr:uid="{00000000-0005-0000-0000-00002A580000}"/>
    <cellStyle name="Normal 4 3 5 5 2 3" xfId="27151" xr:uid="{00000000-0005-0000-0000-00002B580000}"/>
    <cellStyle name="Normal 4 3 5 5 3" xfId="21366" xr:uid="{00000000-0005-0000-0000-00002C580000}"/>
    <cellStyle name="Normal 4 3 5 5 4" xfId="27150" xr:uid="{00000000-0005-0000-0000-00002D580000}"/>
    <cellStyle name="Normal 4 3 5 6" xfId="4903" xr:uid="{00000000-0005-0000-0000-00002E580000}"/>
    <cellStyle name="Normal 4 3 5 6 2" xfId="6616" xr:uid="{00000000-0005-0000-0000-00002F580000}"/>
    <cellStyle name="Normal 4 3 5 6 2 2" xfId="27153" xr:uid="{00000000-0005-0000-0000-000030580000}"/>
    <cellStyle name="Normal 4 3 5 6 3" xfId="21368" xr:uid="{00000000-0005-0000-0000-000031580000}"/>
    <cellStyle name="Normal 4 3 5 6 4" xfId="27152" xr:uid="{00000000-0005-0000-0000-000032580000}"/>
    <cellStyle name="Normal 4 3 5 7" xfId="6603" xr:uid="{00000000-0005-0000-0000-000033580000}"/>
    <cellStyle name="Normal 4 3 5 7 2" xfId="27154" xr:uid="{00000000-0005-0000-0000-000034580000}"/>
    <cellStyle name="Normal 4 3 5 8" xfId="21345" xr:uid="{00000000-0005-0000-0000-000035580000}"/>
    <cellStyle name="Normal 4 3 5 9" xfId="24941" xr:uid="{00000000-0005-0000-0000-000036580000}"/>
    <cellStyle name="Normal 4 3 6" xfId="1385" xr:uid="{00000000-0005-0000-0000-000037580000}"/>
    <cellStyle name="Normal 4 3 6 2" xfId="21369" xr:uid="{00000000-0005-0000-0000-000038580000}"/>
    <cellStyle name="Normal 4 3 7" xfId="3911" xr:uid="{00000000-0005-0000-0000-000039580000}"/>
    <cellStyle name="Normal 4 3 7 2" xfId="21371" xr:uid="{00000000-0005-0000-0000-00003A580000}"/>
    <cellStyle name="Normal 4 3 7 3" xfId="21370" xr:uid="{00000000-0005-0000-0000-00003B580000}"/>
    <cellStyle name="Normal 4 3 8" xfId="24542" xr:uid="{00000000-0005-0000-0000-00003C580000}"/>
    <cellStyle name="Normal 4 4" xfId="1050" xr:uid="{00000000-0005-0000-0000-00003D580000}"/>
    <cellStyle name="Normal 4 4 2" xfId="1570" xr:uid="{00000000-0005-0000-0000-00003E580000}"/>
    <cellStyle name="Normal 4 4 2 10" xfId="24923" xr:uid="{00000000-0005-0000-0000-00003F580000}"/>
    <cellStyle name="Normal 4 4 2 11" xfId="27155" xr:uid="{00000000-0005-0000-0000-000040580000}"/>
    <cellStyle name="Normal 4 4 2 2" xfId="4191" xr:uid="{00000000-0005-0000-0000-000041580000}"/>
    <cellStyle name="Normal 4 4 2 2 2" xfId="4909" xr:uid="{00000000-0005-0000-0000-000042580000}"/>
    <cellStyle name="Normal 4 4 2 2 2 2" xfId="5482" xr:uid="{00000000-0005-0000-0000-000043580000}"/>
    <cellStyle name="Normal 4 4 2 2 2 2 2" xfId="6620" xr:uid="{00000000-0005-0000-0000-000044580000}"/>
    <cellStyle name="Normal 4 4 2 2 2 2 2 2" xfId="21376" xr:uid="{00000000-0005-0000-0000-000045580000}"/>
    <cellStyle name="Normal 4 4 2 2 2 2 2 3" xfId="27159" xr:uid="{00000000-0005-0000-0000-000046580000}"/>
    <cellStyle name="Normal 4 4 2 2 2 2 3" xfId="21375" xr:uid="{00000000-0005-0000-0000-000047580000}"/>
    <cellStyle name="Normal 4 4 2 2 2 2 4" xfId="27158" xr:uid="{00000000-0005-0000-0000-000048580000}"/>
    <cellStyle name="Normal 4 4 2 2 2 3" xfId="5792" xr:uid="{00000000-0005-0000-0000-000049580000}"/>
    <cellStyle name="Normal 4 4 2 2 2 3 2" xfId="6621" xr:uid="{00000000-0005-0000-0000-00004A580000}"/>
    <cellStyle name="Normal 4 4 2 2 2 3 2 2" xfId="27161" xr:uid="{00000000-0005-0000-0000-00004B580000}"/>
    <cellStyle name="Normal 4 4 2 2 2 3 3" xfId="21377" xr:uid="{00000000-0005-0000-0000-00004C580000}"/>
    <cellStyle name="Normal 4 4 2 2 2 3 4" xfId="27160" xr:uid="{00000000-0005-0000-0000-00004D580000}"/>
    <cellStyle name="Normal 4 4 2 2 2 4" xfId="6619" xr:uid="{00000000-0005-0000-0000-00004E580000}"/>
    <cellStyle name="Normal 4 4 2 2 2 4 2" xfId="27162" xr:uid="{00000000-0005-0000-0000-00004F580000}"/>
    <cellStyle name="Normal 4 4 2 2 2 5" xfId="21374" xr:uid="{00000000-0005-0000-0000-000050580000}"/>
    <cellStyle name="Normal 4 4 2 2 2 6" xfId="27157" xr:uid="{00000000-0005-0000-0000-000051580000}"/>
    <cellStyle name="Normal 4 4 2 2 3" xfId="5481" xr:uid="{00000000-0005-0000-0000-000052580000}"/>
    <cellStyle name="Normal 4 4 2 2 3 2" xfId="6622" xr:uid="{00000000-0005-0000-0000-000053580000}"/>
    <cellStyle name="Normal 4 4 2 2 3 2 2" xfId="21380" xr:uid="{00000000-0005-0000-0000-000054580000}"/>
    <cellStyle name="Normal 4 4 2 2 3 2 3" xfId="21379" xr:uid="{00000000-0005-0000-0000-000055580000}"/>
    <cellStyle name="Normal 4 4 2 2 3 2 4" xfId="27164" xr:uid="{00000000-0005-0000-0000-000056580000}"/>
    <cellStyle name="Normal 4 4 2 2 3 3" xfId="21381" xr:uid="{00000000-0005-0000-0000-000057580000}"/>
    <cellStyle name="Normal 4 4 2 2 3 3 2" xfId="21382" xr:uid="{00000000-0005-0000-0000-000058580000}"/>
    <cellStyle name="Normal 4 4 2 2 3 4" xfId="21383" xr:uid="{00000000-0005-0000-0000-000059580000}"/>
    <cellStyle name="Normal 4 4 2 2 3 5" xfId="21378" xr:uid="{00000000-0005-0000-0000-00005A580000}"/>
    <cellStyle name="Normal 4 4 2 2 3 6" xfId="27163" xr:uid="{00000000-0005-0000-0000-00005B580000}"/>
    <cellStyle name="Normal 4 4 2 2 4" xfId="5791" xr:uid="{00000000-0005-0000-0000-00005C580000}"/>
    <cellStyle name="Normal 4 4 2 2 4 2" xfId="6623" xr:uid="{00000000-0005-0000-0000-00005D580000}"/>
    <cellStyle name="Normal 4 4 2 2 4 2 2" xfId="21385" xr:uid="{00000000-0005-0000-0000-00005E580000}"/>
    <cellStyle name="Normal 4 4 2 2 4 2 3" xfId="27166" xr:uid="{00000000-0005-0000-0000-00005F580000}"/>
    <cellStyle name="Normal 4 4 2 2 4 3" xfId="21384" xr:uid="{00000000-0005-0000-0000-000060580000}"/>
    <cellStyle name="Normal 4 4 2 2 4 4" xfId="27165" xr:uid="{00000000-0005-0000-0000-000061580000}"/>
    <cellStyle name="Normal 4 4 2 2 5" xfId="4908" xr:uid="{00000000-0005-0000-0000-000062580000}"/>
    <cellStyle name="Normal 4 4 2 2 5 2" xfId="6624" xr:uid="{00000000-0005-0000-0000-000063580000}"/>
    <cellStyle name="Normal 4 4 2 2 5 2 2" xfId="21387" xr:uid="{00000000-0005-0000-0000-000064580000}"/>
    <cellStyle name="Normal 4 4 2 2 5 2 3" xfId="27168" xr:uid="{00000000-0005-0000-0000-000065580000}"/>
    <cellStyle name="Normal 4 4 2 2 5 3" xfId="21386" xr:uid="{00000000-0005-0000-0000-000066580000}"/>
    <cellStyle name="Normal 4 4 2 2 5 4" xfId="27167" xr:uid="{00000000-0005-0000-0000-000067580000}"/>
    <cellStyle name="Normal 4 4 2 2 6" xfId="6618" xr:uid="{00000000-0005-0000-0000-000068580000}"/>
    <cellStyle name="Normal 4 4 2 2 6 2" xfId="21388" xr:uid="{00000000-0005-0000-0000-000069580000}"/>
    <cellStyle name="Normal 4 4 2 2 6 3" xfId="27169" xr:uid="{00000000-0005-0000-0000-00006A580000}"/>
    <cellStyle name="Normal 4 4 2 2 7" xfId="21373" xr:uid="{00000000-0005-0000-0000-00006B580000}"/>
    <cellStyle name="Normal 4 4 2 2 8" xfId="25043" xr:uid="{00000000-0005-0000-0000-00006C580000}"/>
    <cellStyle name="Normal 4 4 2 2 9" xfId="27156" xr:uid="{00000000-0005-0000-0000-00006D580000}"/>
    <cellStyle name="Normal 4 4 2 3" xfId="4910" xr:uid="{00000000-0005-0000-0000-00006E580000}"/>
    <cellStyle name="Normal 4 4 2 3 2" xfId="5483" xr:uid="{00000000-0005-0000-0000-00006F580000}"/>
    <cellStyle name="Normal 4 4 2 3 2 2" xfId="6626" xr:uid="{00000000-0005-0000-0000-000070580000}"/>
    <cellStyle name="Normal 4 4 2 3 2 2 2" xfId="21391" xr:uid="{00000000-0005-0000-0000-000071580000}"/>
    <cellStyle name="Normal 4 4 2 3 2 2 3" xfId="27172" xr:uid="{00000000-0005-0000-0000-000072580000}"/>
    <cellStyle name="Normal 4 4 2 3 2 3" xfId="21390" xr:uid="{00000000-0005-0000-0000-000073580000}"/>
    <cellStyle name="Normal 4 4 2 3 2 4" xfId="27171" xr:uid="{00000000-0005-0000-0000-000074580000}"/>
    <cellStyle name="Normal 4 4 2 3 3" xfId="5793" xr:uid="{00000000-0005-0000-0000-000075580000}"/>
    <cellStyle name="Normal 4 4 2 3 3 2" xfId="6627" xr:uid="{00000000-0005-0000-0000-000076580000}"/>
    <cellStyle name="Normal 4 4 2 3 3 2 2" xfId="27174" xr:uid="{00000000-0005-0000-0000-000077580000}"/>
    <cellStyle name="Normal 4 4 2 3 3 3" xfId="21392" xr:uid="{00000000-0005-0000-0000-000078580000}"/>
    <cellStyle name="Normal 4 4 2 3 3 4" xfId="27173" xr:uid="{00000000-0005-0000-0000-000079580000}"/>
    <cellStyle name="Normal 4 4 2 3 4" xfId="6625" xr:uid="{00000000-0005-0000-0000-00007A580000}"/>
    <cellStyle name="Normal 4 4 2 3 4 2" xfId="27175" xr:uid="{00000000-0005-0000-0000-00007B580000}"/>
    <cellStyle name="Normal 4 4 2 3 5" xfId="21389" xr:uid="{00000000-0005-0000-0000-00007C580000}"/>
    <cellStyle name="Normal 4 4 2 3 6" xfId="27170" xr:uid="{00000000-0005-0000-0000-00007D580000}"/>
    <cellStyle name="Normal 4 4 2 4" xfId="5480" xr:uid="{00000000-0005-0000-0000-00007E580000}"/>
    <cellStyle name="Normal 4 4 2 4 2" xfId="6628" xr:uid="{00000000-0005-0000-0000-00007F580000}"/>
    <cellStyle name="Normal 4 4 2 4 2 2" xfId="21394" xr:uid="{00000000-0005-0000-0000-000080580000}"/>
    <cellStyle name="Normal 4 4 2 4 2 3" xfId="27177" xr:uid="{00000000-0005-0000-0000-000081580000}"/>
    <cellStyle name="Normal 4 4 2 4 3" xfId="21393" xr:uid="{00000000-0005-0000-0000-000082580000}"/>
    <cellStyle name="Normal 4 4 2 4 4" xfId="27176" xr:uid="{00000000-0005-0000-0000-000083580000}"/>
    <cellStyle name="Normal 4 4 2 5" xfId="5790" xr:uid="{00000000-0005-0000-0000-000084580000}"/>
    <cellStyle name="Normal 4 4 2 5 2" xfId="6629" xr:uid="{00000000-0005-0000-0000-000085580000}"/>
    <cellStyle name="Normal 4 4 2 5 2 2" xfId="21397" xr:uid="{00000000-0005-0000-0000-000086580000}"/>
    <cellStyle name="Normal 4 4 2 5 2 3" xfId="21396" xr:uid="{00000000-0005-0000-0000-000087580000}"/>
    <cellStyle name="Normal 4 4 2 5 2 4" xfId="27179" xr:uid="{00000000-0005-0000-0000-000088580000}"/>
    <cellStyle name="Normal 4 4 2 5 3" xfId="21398" xr:uid="{00000000-0005-0000-0000-000089580000}"/>
    <cellStyle name="Normal 4 4 2 5 3 2" xfId="21399" xr:uid="{00000000-0005-0000-0000-00008A580000}"/>
    <cellStyle name="Normal 4 4 2 5 4" xfId="21400" xr:uid="{00000000-0005-0000-0000-00008B580000}"/>
    <cellStyle name="Normal 4 4 2 5 5" xfId="21395" xr:uid="{00000000-0005-0000-0000-00008C580000}"/>
    <cellStyle name="Normal 4 4 2 5 6" xfId="27178" xr:uid="{00000000-0005-0000-0000-00008D580000}"/>
    <cellStyle name="Normal 4 4 2 6" xfId="4907" xr:uid="{00000000-0005-0000-0000-00008E580000}"/>
    <cellStyle name="Normal 4 4 2 6 2" xfId="6630" xr:uid="{00000000-0005-0000-0000-00008F580000}"/>
    <cellStyle name="Normal 4 4 2 6 2 2" xfId="21402" xr:uid="{00000000-0005-0000-0000-000090580000}"/>
    <cellStyle name="Normal 4 4 2 6 2 3" xfId="27181" xr:uid="{00000000-0005-0000-0000-000091580000}"/>
    <cellStyle name="Normal 4 4 2 6 3" xfId="21401" xr:uid="{00000000-0005-0000-0000-000092580000}"/>
    <cellStyle name="Normal 4 4 2 6 4" xfId="27180" xr:uid="{00000000-0005-0000-0000-000093580000}"/>
    <cellStyle name="Normal 4 4 2 7" xfId="6617" xr:uid="{00000000-0005-0000-0000-000094580000}"/>
    <cellStyle name="Normal 4 4 2 7 2" xfId="21404" xr:uid="{00000000-0005-0000-0000-000095580000}"/>
    <cellStyle name="Normal 4 4 2 7 3" xfId="21403" xr:uid="{00000000-0005-0000-0000-000096580000}"/>
    <cellStyle name="Normal 4 4 2 7 4" xfId="27182" xr:uid="{00000000-0005-0000-0000-000097580000}"/>
    <cellStyle name="Normal 4 4 2 8" xfId="21405" xr:uid="{00000000-0005-0000-0000-000098580000}"/>
    <cellStyle name="Normal 4 4 2 9" xfId="21372" xr:uid="{00000000-0005-0000-0000-000099580000}"/>
    <cellStyle name="Normal 4 4 3" xfId="1662" xr:uid="{00000000-0005-0000-0000-00009A580000}"/>
    <cellStyle name="Normal 4 4 3 10" xfId="27183" xr:uid="{00000000-0005-0000-0000-00009B580000}"/>
    <cellStyle name="Normal 4 4 3 2" xfId="4197" xr:uid="{00000000-0005-0000-0000-00009C580000}"/>
    <cellStyle name="Normal 4 4 3 2 2" xfId="4913" xr:uid="{00000000-0005-0000-0000-00009D580000}"/>
    <cellStyle name="Normal 4 4 3 2 2 2" xfId="5486" xr:uid="{00000000-0005-0000-0000-00009E580000}"/>
    <cellStyle name="Normal 4 4 3 2 2 2 2" xfId="6634" xr:uid="{00000000-0005-0000-0000-00009F580000}"/>
    <cellStyle name="Normal 4 4 3 2 2 2 2 2" xfId="21410" xr:uid="{00000000-0005-0000-0000-0000A0580000}"/>
    <cellStyle name="Normal 4 4 3 2 2 2 2 3" xfId="27187" xr:uid="{00000000-0005-0000-0000-0000A1580000}"/>
    <cellStyle name="Normal 4 4 3 2 2 2 3" xfId="21409" xr:uid="{00000000-0005-0000-0000-0000A2580000}"/>
    <cellStyle name="Normal 4 4 3 2 2 2 4" xfId="27186" xr:uid="{00000000-0005-0000-0000-0000A3580000}"/>
    <cellStyle name="Normal 4 4 3 2 2 3" xfId="5796" xr:uid="{00000000-0005-0000-0000-0000A4580000}"/>
    <cellStyle name="Normal 4 4 3 2 2 3 2" xfId="6635" xr:uid="{00000000-0005-0000-0000-0000A5580000}"/>
    <cellStyle name="Normal 4 4 3 2 2 3 2 2" xfId="21412" xr:uid="{00000000-0005-0000-0000-0000A6580000}"/>
    <cellStyle name="Normal 4 4 3 2 2 3 2 3" xfId="27189" xr:uid="{00000000-0005-0000-0000-0000A7580000}"/>
    <cellStyle name="Normal 4 4 3 2 2 3 3" xfId="21411" xr:uid="{00000000-0005-0000-0000-0000A8580000}"/>
    <cellStyle name="Normal 4 4 3 2 2 3 4" xfId="27188" xr:uid="{00000000-0005-0000-0000-0000A9580000}"/>
    <cellStyle name="Normal 4 4 3 2 2 4" xfId="6633" xr:uid="{00000000-0005-0000-0000-0000AA580000}"/>
    <cellStyle name="Normal 4 4 3 2 2 4 2" xfId="21413" xr:uid="{00000000-0005-0000-0000-0000AB580000}"/>
    <cellStyle name="Normal 4 4 3 2 2 4 3" xfId="27190" xr:uid="{00000000-0005-0000-0000-0000AC580000}"/>
    <cellStyle name="Normal 4 4 3 2 2 5" xfId="21408" xr:uid="{00000000-0005-0000-0000-0000AD580000}"/>
    <cellStyle name="Normal 4 4 3 2 2 6" xfId="27185" xr:uid="{00000000-0005-0000-0000-0000AE580000}"/>
    <cellStyle name="Normal 4 4 3 2 3" xfId="5485" xr:uid="{00000000-0005-0000-0000-0000AF580000}"/>
    <cellStyle name="Normal 4 4 3 2 3 2" xfId="6636" xr:uid="{00000000-0005-0000-0000-0000B0580000}"/>
    <cellStyle name="Normal 4 4 3 2 3 2 2" xfId="21415" xr:uid="{00000000-0005-0000-0000-0000B1580000}"/>
    <cellStyle name="Normal 4 4 3 2 3 2 3" xfId="27192" xr:uid="{00000000-0005-0000-0000-0000B2580000}"/>
    <cellStyle name="Normal 4 4 3 2 3 3" xfId="21414" xr:uid="{00000000-0005-0000-0000-0000B3580000}"/>
    <cellStyle name="Normal 4 4 3 2 3 4" xfId="27191" xr:uid="{00000000-0005-0000-0000-0000B4580000}"/>
    <cellStyle name="Normal 4 4 3 2 4" xfId="5795" xr:uid="{00000000-0005-0000-0000-0000B5580000}"/>
    <cellStyle name="Normal 4 4 3 2 4 2" xfId="6637" xr:uid="{00000000-0005-0000-0000-0000B6580000}"/>
    <cellStyle name="Normal 4 4 3 2 4 2 2" xfId="21417" xr:uid="{00000000-0005-0000-0000-0000B7580000}"/>
    <cellStyle name="Normal 4 4 3 2 4 2 3" xfId="27194" xr:uid="{00000000-0005-0000-0000-0000B8580000}"/>
    <cellStyle name="Normal 4 4 3 2 4 3" xfId="21416" xr:uid="{00000000-0005-0000-0000-0000B9580000}"/>
    <cellStyle name="Normal 4 4 3 2 4 4" xfId="27193" xr:uid="{00000000-0005-0000-0000-0000BA580000}"/>
    <cellStyle name="Normal 4 4 3 2 5" xfId="4912" xr:uid="{00000000-0005-0000-0000-0000BB580000}"/>
    <cellStyle name="Normal 4 4 3 2 5 2" xfId="6638" xr:uid="{00000000-0005-0000-0000-0000BC580000}"/>
    <cellStyle name="Normal 4 4 3 2 5 2 2" xfId="27196" xr:uid="{00000000-0005-0000-0000-0000BD580000}"/>
    <cellStyle name="Normal 4 4 3 2 5 3" xfId="21418" xr:uid="{00000000-0005-0000-0000-0000BE580000}"/>
    <cellStyle name="Normal 4 4 3 2 5 4" xfId="27195" xr:uid="{00000000-0005-0000-0000-0000BF580000}"/>
    <cellStyle name="Normal 4 4 3 2 6" xfId="6632" xr:uid="{00000000-0005-0000-0000-0000C0580000}"/>
    <cellStyle name="Normal 4 4 3 2 6 2" xfId="27197" xr:uid="{00000000-0005-0000-0000-0000C1580000}"/>
    <cellStyle name="Normal 4 4 3 2 7" xfId="21407" xr:uid="{00000000-0005-0000-0000-0000C2580000}"/>
    <cellStyle name="Normal 4 4 3 2 8" xfId="25049" xr:uid="{00000000-0005-0000-0000-0000C3580000}"/>
    <cellStyle name="Normal 4 4 3 2 9" xfId="27184" xr:uid="{00000000-0005-0000-0000-0000C4580000}"/>
    <cellStyle name="Normal 4 4 3 3" xfId="4914" xr:uid="{00000000-0005-0000-0000-0000C5580000}"/>
    <cellStyle name="Normal 4 4 3 3 2" xfId="5487" xr:uid="{00000000-0005-0000-0000-0000C6580000}"/>
    <cellStyle name="Normal 4 4 3 3 2 2" xfId="6640" xr:uid="{00000000-0005-0000-0000-0000C7580000}"/>
    <cellStyle name="Normal 4 4 3 3 2 2 2" xfId="21421" xr:uid="{00000000-0005-0000-0000-0000C8580000}"/>
    <cellStyle name="Normal 4 4 3 3 2 2 3" xfId="27200" xr:uid="{00000000-0005-0000-0000-0000C9580000}"/>
    <cellStyle name="Normal 4 4 3 3 2 3" xfId="21420" xr:uid="{00000000-0005-0000-0000-0000CA580000}"/>
    <cellStyle name="Normal 4 4 3 3 2 4" xfId="27199" xr:uid="{00000000-0005-0000-0000-0000CB580000}"/>
    <cellStyle name="Normal 4 4 3 3 3" xfId="5797" xr:uid="{00000000-0005-0000-0000-0000CC580000}"/>
    <cellStyle name="Normal 4 4 3 3 3 2" xfId="6641" xr:uid="{00000000-0005-0000-0000-0000CD580000}"/>
    <cellStyle name="Normal 4 4 3 3 3 2 2" xfId="27202" xr:uid="{00000000-0005-0000-0000-0000CE580000}"/>
    <cellStyle name="Normal 4 4 3 3 3 3" xfId="21422" xr:uid="{00000000-0005-0000-0000-0000CF580000}"/>
    <cellStyle name="Normal 4 4 3 3 3 4" xfId="27201" xr:uid="{00000000-0005-0000-0000-0000D0580000}"/>
    <cellStyle name="Normal 4 4 3 3 4" xfId="6639" xr:uid="{00000000-0005-0000-0000-0000D1580000}"/>
    <cellStyle name="Normal 4 4 3 3 4 2" xfId="27203" xr:uid="{00000000-0005-0000-0000-0000D2580000}"/>
    <cellStyle name="Normal 4 4 3 3 5" xfId="21419" xr:uid="{00000000-0005-0000-0000-0000D3580000}"/>
    <cellStyle name="Normal 4 4 3 3 6" xfId="27198" xr:uid="{00000000-0005-0000-0000-0000D4580000}"/>
    <cellStyle name="Normal 4 4 3 4" xfId="5484" xr:uid="{00000000-0005-0000-0000-0000D5580000}"/>
    <cellStyle name="Normal 4 4 3 4 2" xfId="6642" xr:uid="{00000000-0005-0000-0000-0000D6580000}"/>
    <cellStyle name="Normal 4 4 3 4 2 2" xfId="21425" xr:uid="{00000000-0005-0000-0000-0000D7580000}"/>
    <cellStyle name="Normal 4 4 3 4 2 3" xfId="21424" xr:uid="{00000000-0005-0000-0000-0000D8580000}"/>
    <cellStyle name="Normal 4 4 3 4 2 4" xfId="27205" xr:uid="{00000000-0005-0000-0000-0000D9580000}"/>
    <cellStyle name="Normal 4 4 3 4 3" xfId="21426" xr:uid="{00000000-0005-0000-0000-0000DA580000}"/>
    <cellStyle name="Normal 4 4 3 4 3 2" xfId="21427" xr:uid="{00000000-0005-0000-0000-0000DB580000}"/>
    <cellStyle name="Normal 4 4 3 4 4" xfId="21428" xr:uid="{00000000-0005-0000-0000-0000DC580000}"/>
    <cellStyle name="Normal 4 4 3 4 5" xfId="21423" xr:uid="{00000000-0005-0000-0000-0000DD580000}"/>
    <cellStyle name="Normal 4 4 3 4 6" xfId="27204" xr:uid="{00000000-0005-0000-0000-0000DE580000}"/>
    <cellStyle name="Normal 4 4 3 5" xfId="5794" xr:uid="{00000000-0005-0000-0000-0000DF580000}"/>
    <cellStyle name="Normal 4 4 3 5 2" xfId="6643" xr:uid="{00000000-0005-0000-0000-0000E0580000}"/>
    <cellStyle name="Normal 4 4 3 5 2 2" xfId="21430" xr:uid="{00000000-0005-0000-0000-0000E1580000}"/>
    <cellStyle name="Normal 4 4 3 5 2 3" xfId="27207" xr:uid="{00000000-0005-0000-0000-0000E2580000}"/>
    <cellStyle name="Normal 4 4 3 5 3" xfId="21429" xr:uid="{00000000-0005-0000-0000-0000E3580000}"/>
    <cellStyle name="Normal 4 4 3 5 4" xfId="27206" xr:uid="{00000000-0005-0000-0000-0000E4580000}"/>
    <cellStyle name="Normal 4 4 3 6" xfId="4911" xr:uid="{00000000-0005-0000-0000-0000E5580000}"/>
    <cellStyle name="Normal 4 4 3 6 2" xfId="6644" xr:uid="{00000000-0005-0000-0000-0000E6580000}"/>
    <cellStyle name="Normal 4 4 3 6 2 2" xfId="21432" xr:uid="{00000000-0005-0000-0000-0000E7580000}"/>
    <cellStyle name="Normal 4 4 3 6 2 3" xfId="27209" xr:uid="{00000000-0005-0000-0000-0000E8580000}"/>
    <cellStyle name="Normal 4 4 3 6 3" xfId="21431" xr:uid="{00000000-0005-0000-0000-0000E9580000}"/>
    <cellStyle name="Normal 4 4 3 6 4" xfId="27208" xr:uid="{00000000-0005-0000-0000-0000EA580000}"/>
    <cellStyle name="Normal 4 4 3 7" xfId="6631" xr:uid="{00000000-0005-0000-0000-0000EB580000}"/>
    <cellStyle name="Normal 4 4 3 7 2" xfId="21433" xr:uid="{00000000-0005-0000-0000-0000EC580000}"/>
    <cellStyle name="Normal 4 4 3 7 3" xfId="27210" xr:uid="{00000000-0005-0000-0000-0000ED580000}"/>
    <cellStyle name="Normal 4 4 3 8" xfId="21406" xr:uid="{00000000-0005-0000-0000-0000EE580000}"/>
    <cellStyle name="Normal 4 4 3 9" xfId="24929" xr:uid="{00000000-0005-0000-0000-0000EF580000}"/>
    <cellStyle name="Normal 4 4 4" xfId="3625" xr:uid="{00000000-0005-0000-0000-0000F0580000}"/>
    <cellStyle name="Normal 4 4 4 10" xfId="27211" xr:uid="{00000000-0005-0000-0000-0000F1580000}"/>
    <cellStyle name="Normal 4 4 4 2" xfId="4202" xr:uid="{00000000-0005-0000-0000-0000F2580000}"/>
    <cellStyle name="Normal 4 4 4 2 2" xfId="4917" xr:uid="{00000000-0005-0000-0000-0000F3580000}"/>
    <cellStyle name="Normal 4 4 4 2 2 2" xfId="5490" xr:uid="{00000000-0005-0000-0000-0000F4580000}"/>
    <cellStyle name="Normal 4 4 4 2 2 2 2" xfId="6648" xr:uid="{00000000-0005-0000-0000-0000F5580000}"/>
    <cellStyle name="Normal 4 4 4 2 2 2 2 2" xfId="21438" xr:uid="{00000000-0005-0000-0000-0000F6580000}"/>
    <cellStyle name="Normal 4 4 4 2 2 2 2 3" xfId="27215" xr:uid="{00000000-0005-0000-0000-0000F7580000}"/>
    <cellStyle name="Normal 4 4 4 2 2 2 3" xfId="21437" xr:uid="{00000000-0005-0000-0000-0000F8580000}"/>
    <cellStyle name="Normal 4 4 4 2 2 2 4" xfId="27214" xr:uid="{00000000-0005-0000-0000-0000F9580000}"/>
    <cellStyle name="Normal 4 4 4 2 2 3" xfId="5800" xr:uid="{00000000-0005-0000-0000-0000FA580000}"/>
    <cellStyle name="Normal 4 4 4 2 2 3 2" xfId="6649" xr:uid="{00000000-0005-0000-0000-0000FB580000}"/>
    <cellStyle name="Normal 4 4 4 2 2 3 2 2" xfId="21440" xr:uid="{00000000-0005-0000-0000-0000FC580000}"/>
    <cellStyle name="Normal 4 4 4 2 2 3 2 3" xfId="27217" xr:uid="{00000000-0005-0000-0000-0000FD580000}"/>
    <cellStyle name="Normal 4 4 4 2 2 3 3" xfId="21439" xr:uid="{00000000-0005-0000-0000-0000FE580000}"/>
    <cellStyle name="Normal 4 4 4 2 2 3 4" xfId="27216" xr:uid="{00000000-0005-0000-0000-0000FF580000}"/>
    <cellStyle name="Normal 4 4 4 2 2 4" xfId="6647" xr:uid="{00000000-0005-0000-0000-000000590000}"/>
    <cellStyle name="Normal 4 4 4 2 2 4 2" xfId="21441" xr:uid="{00000000-0005-0000-0000-000001590000}"/>
    <cellStyle name="Normal 4 4 4 2 2 4 3" xfId="27218" xr:uid="{00000000-0005-0000-0000-000002590000}"/>
    <cellStyle name="Normal 4 4 4 2 2 5" xfId="21436" xr:uid="{00000000-0005-0000-0000-000003590000}"/>
    <cellStyle name="Normal 4 4 4 2 2 6" xfId="27213" xr:uid="{00000000-0005-0000-0000-000004590000}"/>
    <cellStyle name="Normal 4 4 4 2 3" xfId="5489" xr:uid="{00000000-0005-0000-0000-000005590000}"/>
    <cellStyle name="Normal 4 4 4 2 3 2" xfId="6650" xr:uid="{00000000-0005-0000-0000-000006590000}"/>
    <cellStyle name="Normal 4 4 4 2 3 2 2" xfId="21443" xr:uid="{00000000-0005-0000-0000-000007590000}"/>
    <cellStyle name="Normal 4 4 4 2 3 2 3" xfId="27220" xr:uid="{00000000-0005-0000-0000-000008590000}"/>
    <cellStyle name="Normal 4 4 4 2 3 3" xfId="21442" xr:uid="{00000000-0005-0000-0000-000009590000}"/>
    <cellStyle name="Normal 4 4 4 2 3 4" xfId="27219" xr:uid="{00000000-0005-0000-0000-00000A590000}"/>
    <cellStyle name="Normal 4 4 4 2 4" xfId="5799" xr:uid="{00000000-0005-0000-0000-00000B590000}"/>
    <cellStyle name="Normal 4 4 4 2 4 2" xfId="6651" xr:uid="{00000000-0005-0000-0000-00000C590000}"/>
    <cellStyle name="Normal 4 4 4 2 4 2 2" xfId="21445" xr:uid="{00000000-0005-0000-0000-00000D590000}"/>
    <cellStyle name="Normal 4 4 4 2 4 2 3" xfId="27222" xr:uid="{00000000-0005-0000-0000-00000E590000}"/>
    <cellStyle name="Normal 4 4 4 2 4 3" xfId="21444" xr:uid="{00000000-0005-0000-0000-00000F590000}"/>
    <cellStyle name="Normal 4 4 4 2 4 4" xfId="27221" xr:uid="{00000000-0005-0000-0000-000010590000}"/>
    <cellStyle name="Normal 4 4 4 2 5" xfId="4916" xr:uid="{00000000-0005-0000-0000-000011590000}"/>
    <cellStyle name="Normal 4 4 4 2 5 2" xfId="6652" xr:uid="{00000000-0005-0000-0000-000012590000}"/>
    <cellStyle name="Normal 4 4 4 2 5 2 2" xfId="27224" xr:uid="{00000000-0005-0000-0000-000013590000}"/>
    <cellStyle name="Normal 4 4 4 2 5 3" xfId="21446" xr:uid="{00000000-0005-0000-0000-000014590000}"/>
    <cellStyle name="Normal 4 4 4 2 5 4" xfId="27223" xr:uid="{00000000-0005-0000-0000-000015590000}"/>
    <cellStyle name="Normal 4 4 4 2 6" xfId="6646" xr:uid="{00000000-0005-0000-0000-000016590000}"/>
    <cellStyle name="Normal 4 4 4 2 6 2" xfId="27225" xr:uid="{00000000-0005-0000-0000-000017590000}"/>
    <cellStyle name="Normal 4 4 4 2 7" xfId="21435" xr:uid="{00000000-0005-0000-0000-000018590000}"/>
    <cellStyle name="Normal 4 4 4 2 8" xfId="25054" xr:uid="{00000000-0005-0000-0000-000019590000}"/>
    <cellStyle name="Normal 4 4 4 2 9" xfId="27212" xr:uid="{00000000-0005-0000-0000-00001A590000}"/>
    <cellStyle name="Normal 4 4 4 3" xfId="4918" xr:uid="{00000000-0005-0000-0000-00001B590000}"/>
    <cellStyle name="Normal 4 4 4 3 2" xfId="5491" xr:uid="{00000000-0005-0000-0000-00001C590000}"/>
    <cellStyle name="Normal 4 4 4 3 2 2" xfId="6654" xr:uid="{00000000-0005-0000-0000-00001D590000}"/>
    <cellStyle name="Normal 4 4 4 3 2 2 2" xfId="21449" xr:uid="{00000000-0005-0000-0000-00001E590000}"/>
    <cellStyle name="Normal 4 4 4 3 2 2 3" xfId="27228" xr:uid="{00000000-0005-0000-0000-00001F590000}"/>
    <cellStyle name="Normal 4 4 4 3 2 3" xfId="21448" xr:uid="{00000000-0005-0000-0000-000020590000}"/>
    <cellStyle name="Normal 4 4 4 3 2 4" xfId="27227" xr:uid="{00000000-0005-0000-0000-000021590000}"/>
    <cellStyle name="Normal 4 4 4 3 3" xfId="5801" xr:uid="{00000000-0005-0000-0000-000022590000}"/>
    <cellStyle name="Normal 4 4 4 3 3 2" xfId="6655" xr:uid="{00000000-0005-0000-0000-000023590000}"/>
    <cellStyle name="Normal 4 4 4 3 3 2 2" xfId="27230" xr:uid="{00000000-0005-0000-0000-000024590000}"/>
    <cellStyle name="Normal 4 4 4 3 3 3" xfId="21450" xr:uid="{00000000-0005-0000-0000-000025590000}"/>
    <cellStyle name="Normal 4 4 4 3 3 4" xfId="27229" xr:uid="{00000000-0005-0000-0000-000026590000}"/>
    <cellStyle name="Normal 4 4 4 3 4" xfId="6653" xr:uid="{00000000-0005-0000-0000-000027590000}"/>
    <cellStyle name="Normal 4 4 4 3 4 2" xfId="27231" xr:uid="{00000000-0005-0000-0000-000028590000}"/>
    <cellStyle name="Normal 4 4 4 3 5" xfId="21447" xr:uid="{00000000-0005-0000-0000-000029590000}"/>
    <cellStyle name="Normal 4 4 4 3 6" xfId="27226" xr:uid="{00000000-0005-0000-0000-00002A590000}"/>
    <cellStyle name="Normal 4 4 4 4" xfId="5488" xr:uid="{00000000-0005-0000-0000-00002B590000}"/>
    <cellStyle name="Normal 4 4 4 4 2" xfId="6656" xr:uid="{00000000-0005-0000-0000-00002C590000}"/>
    <cellStyle name="Normal 4 4 4 4 2 2" xfId="21453" xr:uid="{00000000-0005-0000-0000-00002D590000}"/>
    <cellStyle name="Normal 4 4 4 4 2 3" xfId="21452" xr:uid="{00000000-0005-0000-0000-00002E590000}"/>
    <cellStyle name="Normal 4 4 4 4 2 4" xfId="27233" xr:uid="{00000000-0005-0000-0000-00002F590000}"/>
    <cellStyle name="Normal 4 4 4 4 3" xfId="21454" xr:uid="{00000000-0005-0000-0000-000030590000}"/>
    <cellStyle name="Normal 4 4 4 4 3 2" xfId="21455" xr:uid="{00000000-0005-0000-0000-000031590000}"/>
    <cellStyle name="Normal 4 4 4 4 4" xfId="21456" xr:uid="{00000000-0005-0000-0000-000032590000}"/>
    <cellStyle name="Normal 4 4 4 4 5" xfId="21451" xr:uid="{00000000-0005-0000-0000-000033590000}"/>
    <cellStyle name="Normal 4 4 4 4 6" xfId="27232" xr:uid="{00000000-0005-0000-0000-000034590000}"/>
    <cellStyle name="Normal 4 4 4 5" xfId="5798" xr:uid="{00000000-0005-0000-0000-000035590000}"/>
    <cellStyle name="Normal 4 4 4 5 2" xfId="6657" xr:uid="{00000000-0005-0000-0000-000036590000}"/>
    <cellStyle name="Normal 4 4 4 5 2 2" xfId="21458" xr:uid="{00000000-0005-0000-0000-000037590000}"/>
    <cellStyle name="Normal 4 4 4 5 2 3" xfId="27235" xr:uid="{00000000-0005-0000-0000-000038590000}"/>
    <cellStyle name="Normal 4 4 4 5 3" xfId="21457" xr:uid="{00000000-0005-0000-0000-000039590000}"/>
    <cellStyle name="Normal 4 4 4 5 4" xfId="27234" xr:uid="{00000000-0005-0000-0000-00003A590000}"/>
    <cellStyle name="Normal 4 4 4 6" xfId="4915" xr:uid="{00000000-0005-0000-0000-00003B590000}"/>
    <cellStyle name="Normal 4 4 4 6 2" xfId="6658" xr:uid="{00000000-0005-0000-0000-00003C590000}"/>
    <cellStyle name="Normal 4 4 4 6 2 2" xfId="21460" xr:uid="{00000000-0005-0000-0000-00003D590000}"/>
    <cellStyle name="Normal 4 4 4 6 2 3" xfId="27237" xr:uid="{00000000-0005-0000-0000-00003E590000}"/>
    <cellStyle name="Normal 4 4 4 6 3" xfId="21459" xr:uid="{00000000-0005-0000-0000-00003F590000}"/>
    <cellStyle name="Normal 4 4 4 6 4" xfId="27236" xr:uid="{00000000-0005-0000-0000-000040590000}"/>
    <cellStyle name="Normal 4 4 4 7" xfId="6645" xr:uid="{00000000-0005-0000-0000-000041590000}"/>
    <cellStyle name="Normal 4 4 4 7 2" xfId="21461" xr:uid="{00000000-0005-0000-0000-000042590000}"/>
    <cellStyle name="Normal 4 4 4 7 3" xfId="27238" xr:uid="{00000000-0005-0000-0000-000043590000}"/>
    <cellStyle name="Normal 4 4 4 8" xfId="21434" xr:uid="{00000000-0005-0000-0000-000044590000}"/>
    <cellStyle name="Normal 4 4 4 9" xfId="24934" xr:uid="{00000000-0005-0000-0000-000045590000}"/>
    <cellStyle name="Normal 4 4 5" xfId="3764" xr:uid="{00000000-0005-0000-0000-000046590000}"/>
    <cellStyle name="Normal 4 4 5 10" xfId="27239" xr:uid="{00000000-0005-0000-0000-000047590000}"/>
    <cellStyle name="Normal 4 4 5 2" xfId="4212" xr:uid="{00000000-0005-0000-0000-000048590000}"/>
    <cellStyle name="Normal 4 4 5 2 2" xfId="4921" xr:uid="{00000000-0005-0000-0000-000049590000}"/>
    <cellStyle name="Normal 4 4 5 2 2 2" xfId="5494" xr:uid="{00000000-0005-0000-0000-00004A590000}"/>
    <cellStyle name="Normal 4 4 5 2 2 2 2" xfId="6662" xr:uid="{00000000-0005-0000-0000-00004B590000}"/>
    <cellStyle name="Normal 4 4 5 2 2 2 2 2" xfId="21466" xr:uid="{00000000-0005-0000-0000-00004C590000}"/>
    <cellStyle name="Normal 4 4 5 2 2 2 2 3" xfId="27243" xr:uid="{00000000-0005-0000-0000-00004D590000}"/>
    <cellStyle name="Normal 4 4 5 2 2 2 3" xfId="21465" xr:uid="{00000000-0005-0000-0000-00004E590000}"/>
    <cellStyle name="Normal 4 4 5 2 2 2 4" xfId="27242" xr:uid="{00000000-0005-0000-0000-00004F590000}"/>
    <cellStyle name="Normal 4 4 5 2 2 3" xfId="5804" xr:uid="{00000000-0005-0000-0000-000050590000}"/>
    <cellStyle name="Normal 4 4 5 2 2 3 2" xfId="6663" xr:uid="{00000000-0005-0000-0000-000051590000}"/>
    <cellStyle name="Normal 4 4 5 2 2 3 2 2" xfId="21468" xr:uid="{00000000-0005-0000-0000-000052590000}"/>
    <cellStyle name="Normal 4 4 5 2 2 3 2 3" xfId="27245" xr:uid="{00000000-0005-0000-0000-000053590000}"/>
    <cellStyle name="Normal 4 4 5 2 2 3 3" xfId="21467" xr:uid="{00000000-0005-0000-0000-000054590000}"/>
    <cellStyle name="Normal 4 4 5 2 2 3 4" xfId="27244" xr:uid="{00000000-0005-0000-0000-000055590000}"/>
    <cellStyle name="Normal 4 4 5 2 2 4" xfId="6661" xr:uid="{00000000-0005-0000-0000-000056590000}"/>
    <cellStyle name="Normal 4 4 5 2 2 4 2" xfId="21469" xr:uid="{00000000-0005-0000-0000-000057590000}"/>
    <cellStyle name="Normal 4 4 5 2 2 4 3" xfId="27246" xr:uid="{00000000-0005-0000-0000-000058590000}"/>
    <cellStyle name="Normal 4 4 5 2 2 5" xfId="21464" xr:uid="{00000000-0005-0000-0000-000059590000}"/>
    <cellStyle name="Normal 4 4 5 2 2 6" xfId="27241" xr:uid="{00000000-0005-0000-0000-00005A590000}"/>
    <cellStyle name="Normal 4 4 5 2 3" xfId="5493" xr:uid="{00000000-0005-0000-0000-00005B590000}"/>
    <cellStyle name="Normal 4 4 5 2 3 2" xfId="6664" xr:uid="{00000000-0005-0000-0000-00005C590000}"/>
    <cellStyle name="Normal 4 4 5 2 3 2 2" xfId="21471" xr:uid="{00000000-0005-0000-0000-00005D590000}"/>
    <cellStyle name="Normal 4 4 5 2 3 2 3" xfId="27248" xr:uid="{00000000-0005-0000-0000-00005E590000}"/>
    <cellStyle name="Normal 4 4 5 2 3 3" xfId="21470" xr:uid="{00000000-0005-0000-0000-00005F590000}"/>
    <cellStyle name="Normal 4 4 5 2 3 4" xfId="27247" xr:uid="{00000000-0005-0000-0000-000060590000}"/>
    <cellStyle name="Normal 4 4 5 2 4" xfId="5803" xr:uid="{00000000-0005-0000-0000-000061590000}"/>
    <cellStyle name="Normal 4 4 5 2 4 2" xfId="6665" xr:uid="{00000000-0005-0000-0000-000062590000}"/>
    <cellStyle name="Normal 4 4 5 2 4 2 2" xfId="21473" xr:uid="{00000000-0005-0000-0000-000063590000}"/>
    <cellStyle name="Normal 4 4 5 2 4 2 3" xfId="27250" xr:uid="{00000000-0005-0000-0000-000064590000}"/>
    <cellStyle name="Normal 4 4 5 2 4 3" xfId="21472" xr:uid="{00000000-0005-0000-0000-000065590000}"/>
    <cellStyle name="Normal 4 4 5 2 4 4" xfId="27249" xr:uid="{00000000-0005-0000-0000-000066590000}"/>
    <cellStyle name="Normal 4 4 5 2 5" xfId="4920" xr:uid="{00000000-0005-0000-0000-000067590000}"/>
    <cellStyle name="Normal 4 4 5 2 5 2" xfId="6666" xr:uid="{00000000-0005-0000-0000-000068590000}"/>
    <cellStyle name="Normal 4 4 5 2 5 2 2" xfId="27252" xr:uid="{00000000-0005-0000-0000-000069590000}"/>
    <cellStyle name="Normal 4 4 5 2 5 3" xfId="21474" xr:uid="{00000000-0005-0000-0000-00006A590000}"/>
    <cellStyle name="Normal 4 4 5 2 5 4" xfId="27251" xr:uid="{00000000-0005-0000-0000-00006B590000}"/>
    <cellStyle name="Normal 4 4 5 2 6" xfId="6660" xr:uid="{00000000-0005-0000-0000-00006C590000}"/>
    <cellStyle name="Normal 4 4 5 2 6 2" xfId="27253" xr:uid="{00000000-0005-0000-0000-00006D590000}"/>
    <cellStyle name="Normal 4 4 5 2 7" xfId="21463" xr:uid="{00000000-0005-0000-0000-00006E590000}"/>
    <cellStyle name="Normal 4 4 5 2 8" xfId="25064" xr:uid="{00000000-0005-0000-0000-00006F590000}"/>
    <cellStyle name="Normal 4 4 5 2 9" xfId="27240" xr:uid="{00000000-0005-0000-0000-000070590000}"/>
    <cellStyle name="Normal 4 4 5 3" xfId="4922" xr:uid="{00000000-0005-0000-0000-000071590000}"/>
    <cellStyle name="Normal 4 4 5 3 2" xfId="5495" xr:uid="{00000000-0005-0000-0000-000072590000}"/>
    <cellStyle name="Normal 4 4 5 3 2 2" xfId="6668" xr:uid="{00000000-0005-0000-0000-000073590000}"/>
    <cellStyle name="Normal 4 4 5 3 2 2 2" xfId="21477" xr:uid="{00000000-0005-0000-0000-000074590000}"/>
    <cellStyle name="Normal 4 4 5 3 2 2 3" xfId="27256" xr:uid="{00000000-0005-0000-0000-000075590000}"/>
    <cellStyle name="Normal 4 4 5 3 2 3" xfId="21476" xr:uid="{00000000-0005-0000-0000-000076590000}"/>
    <cellStyle name="Normal 4 4 5 3 2 4" xfId="27255" xr:uid="{00000000-0005-0000-0000-000077590000}"/>
    <cellStyle name="Normal 4 4 5 3 3" xfId="5805" xr:uid="{00000000-0005-0000-0000-000078590000}"/>
    <cellStyle name="Normal 4 4 5 3 3 2" xfId="6669" xr:uid="{00000000-0005-0000-0000-000079590000}"/>
    <cellStyle name="Normal 4 4 5 3 3 2 2" xfId="21479" xr:uid="{00000000-0005-0000-0000-00007A590000}"/>
    <cellStyle name="Normal 4 4 5 3 3 2 3" xfId="27258" xr:uid="{00000000-0005-0000-0000-00007B590000}"/>
    <cellStyle name="Normal 4 4 5 3 3 3" xfId="21478" xr:uid="{00000000-0005-0000-0000-00007C590000}"/>
    <cellStyle name="Normal 4 4 5 3 3 4" xfId="27257" xr:uid="{00000000-0005-0000-0000-00007D590000}"/>
    <cellStyle name="Normal 4 4 5 3 4" xfId="6667" xr:uid="{00000000-0005-0000-0000-00007E590000}"/>
    <cellStyle name="Normal 4 4 5 3 4 2" xfId="21480" xr:uid="{00000000-0005-0000-0000-00007F590000}"/>
    <cellStyle name="Normal 4 4 5 3 4 3" xfId="27259" xr:uid="{00000000-0005-0000-0000-000080590000}"/>
    <cellStyle name="Normal 4 4 5 3 5" xfId="21475" xr:uid="{00000000-0005-0000-0000-000081590000}"/>
    <cellStyle name="Normal 4 4 5 3 6" xfId="27254" xr:uid="{00000000-0005-0000-0000-000082590000}"/>
    <cellStyle name="Normal 4 4 5 4" xfId="5492" xr:uid="{00000000-0005-0000-0000-000083590000}"/>
    <cellStyle name="Normal 4 4 5 4 2" xfId="6670" xr:uid="{00000000-0005-0000-0000-000084590000}"/>
    <cellStyle name="Normal 4 4 5 4 2 2" xfId="21482" xr:uid="{00000000-0005-0000-0000-000085590000}"/>
    <cellStyle name="Normal 4 4 5 4 2 3" xfId="27261" xr:uid="{00000000-0005-0000-0000-000086590000}"/>
    <cellStyle name="Normal 4 4 5 4 3" xfId="21481" xr:uid="{00000000-0005-0000-0000-000087590000}"/>
    <cellStyle name="Normal 4 4 5 4 4" xfId="27260" xr:uid="{00000000-0005-0000-0000-000088590000}"/>
    <cellStyle name="Normal 4 4 5 5" xfId="5802" xr:uid="{00000000-0005-0000-0000-000089590000}"/>
    <cellStyle name="Normal 4 4 5 5 2" xfId="6671" xr:uid="{00000000-0005-0000-0000-00008A590000}"/>
    <cellStyle name="Normal 4 4 5 5 2 2" xfId="21484" xr:uid="{00000000-0005-0000-0000-00008B590000}"/>
    <cellStyle name="Normal 4 4 5 5 2 3" xfId="27263" xr:uid="{00000000-0005-0000-0000-00008C590000}"/>
    <cellStyle name="Normal 4 4 5 5 3" xfId="21483" xr:uid="{00000000-0005-0000-0000-00008D590000}"/>
    <cellStyle name="Normal 4 4 5 5 4" xfId="27262" xr:uid="{00000000-0005-0000-0000-00008E590000}"/>
    <cellStyle name="Normal 4 4 5 6" xfId="4919" xr:uid="{00000000-0005-0000-0000-00008F590000}"/>
    <cellStyle name="Normal 4 4 5 6 2" xfId="6672" xr:uid="{00000000-0005-0000-0000-000090590000}"/>
    <cellStyle name="Normal 4 4 5 6 2 2" xfId="27265" xr:uid="{00000000-0005-0000-0000-000091590000}"/>
    <cellStyle name="Normal 4 4 5 6 3" xfId="21485" xr:uid="{00000000-0005-0000-0000-000092590000}"/>
    <cellStyle name="Normal 4 4 5 6 4" xfId="27264" xr:uid="{00000000-0005-0000-0000-000093590000}"/>
    <cellStyle name="Normal 4 4 5 7" xfId="6659" xr:uid="{00000000-0005-0000-0000-000094590000}"/>
    <cellStyle name="Normal 4 4 5 7 2" xfId="27266" xr:uid="{00000000-0005-0000-0000-000095590000}"/>
    <cellStyle name="Normal 4 4 5 8" xfId="21462" xr:uid="{00000000-0005-0000-0000-000096590000}"/>
    <cellStyle name="Normal 4 4 5 9" xfId="24944" xr:uid="{00000000-0005-0000-0000-000097590000}"/>
    <cellStyle name="Normal 4 4 6" xfId="1389" xr:uid="{00000000-0005-0000-0000-000098590000}"/>
    <cellStyle name="Normal 4 4 6 2" xfId="21486" xr:uid="{00000000-0005-0000-0000-000099590000}"/>
    <cellStyle name="Normal 4 4 7" xfId="3920" xr:uid="{00000000-0005-0000-0000-00009A590000}"/>
    <cellStyle name="Normal 4 4 7 2" xfId="21488" xr:uid="{00000000-0005-0000-0000-00009B590000}"/>
    <cellStyle name="Normal 4 4 7 3" xfId="21487" xr:uid="{00000000-0005-0000-0000-00009C590000}"/>
    <cellStyle name="Normal 4 5" xfId="1058" xr:uid="{00000000-0005-0000-0000-00009D590000}"/>
    <cellStyle name="Normal 4 5 2" xfId="3808" xr:uid="{00000000-0005-0000-0000-00009E590000}"/>
    <cellStyle name="Normal 4 5 2 10" xfId="27267" xr:uid="{00000000-0005-0000-0000-00009F590000}"/>
    <cellStyle name="Normal 4 5 2 2" xfId="4215" xr:uid="{00000000-0005-0000-0000-0000A0590000}"/>
    <cellStyle name="Normal 4 5 2 2 2" xfId="4925" xr:uid="{00000000-0005-0000-0000-0000A1590000}"/>
    <cellStyle name="Normal 4 5 2 2 2 2" xfId="5498" xr:uid="{00000000-0005-0000-0000-0000A2590000}"/>
    <cellStyle name="Normal 4 5 2 2 2 2 2" xfId="6676" xr:uid="{00000000-0005-0000-0000-0000A3590000}"/>
    <cellStyle name="Normal 4 5 2 2 2 2 2 2" xfId="21493" xr:uid="{00000000-0005-0000-0000-0000A4590000}"/>
    <cellStyle name="Normal 4 5 2 2 2 2 2 3" xfId="27271" xr:uid="{00000000-0005-0000-0000-0000A5590000}"/>
    <cellStyle name="Normal 4 5 2 2 2 2 3" xfId="21492" xr:uid="{00000000-0005-0000-0000-0000A6590000}"/>
    <cellStyle name="Normal 4 5 2 2 2 2 4" xfId="27270" xr:uid="{00000000-0005-0000-0000-0000A7590000}"/>
    <cellStyle name="Normal 4 5 2 2 2 3" xfId="5808" xr:uid="{00000000-0005-0000-0000-0000A8590000}"/>
    <cellStyle name="Normal 4 5 2 2 2 3 2" xfId="6677" xr:uid="{00000000-0005-0000-0000-0000A9590000}"/>
    <cellStyle name="Normal 4 5 2 2 2 3 2 2" xfId="21495" xr:uid="{00000000-0005-0000-0000-0000AA590000}"/>
    <cellStyle name="Normal 4 5 2 2 2 3 2 3" xfId="27273" xr:uid="{00000000-0005-0000-0000-0000AB590000}"/>
    <cellStyle name="Normal 4 5 2 2 2 3 3" xfId="21494" xr:uid="{00000000-0005-0000-0000-0000AC590000}"/>
    <cellStyle name="Normal 4 5 2 2 2 3 4" xfId="27272" xr:uid="{00000000-0005-0000-0000-0000AD590000}"/>
    <cellStyle name="Normal 4 5 2 2 2 4" xfId="6675" xr:uid="{00000000-0005-0000-0000-0000AE590000}"/>
    <cellStyle name="Normal 4 5 2 2 2 4 2" xfId="21496" xr:uid="{00000000-0005-0000-0000-0000AF590000}"/>
    <cellStyle name="Normal 4 5 2 2 2 4 3" xfId="27274" xr:uid="{00000000-0005-0000-0000-0000B0590000}"/>
    <cellStyle name="Normal 4 5 2 2 2 5" xfId="21491" xr:uid="{00000000-0005-0000-0000-0000B1590000}"/>
    <cellStyle name="Normal 4 5 2 2 2 6" xfId="27269" xr:uid="{00000000-0005-0000-0000-0000B2590000}"/>
    <cellStyle name="Normal 4 5 2 2 3" xfId="5497" xr:uid="{00000000-0005-0000-0000-0000B3590000}"/>
    <cellStyle name="Normal 4 5 2 2 3 2" xfId="6678" xr:uid="{00000000-0005-0000-0000-0000B4590000}"/>
    <cellStyle name="Normal 4 5 2 2 3 2 2" xfId="21498" xr:uid="{00000000-0005-0000-0000-0000B5590000}"/>
    <cellStyle name="Normal 4 5 2 2 3 2 3" xfId="27276" xr:uid="{00000000-0005-0000-0000-0000B6590000}"/>
    <cellStyle name="Normal 4 5 2 2 3 3" xfId="21497" xr:uid="{00000000-0005-0000-0000-0000B7590000}"/>
    <cellStyle name="Normal 4 5 2 2 3 4" xfId="27275" xr:uid="{00000000-0005-0000-0000-0000B8590000}"/>
    <cellStyle name="Normal 4 5 2 2 4" xfId="5807" xr:uid="{00000000-0005-0000-0000-0000B9590000}"/>
    <cellStyle name="Normal 4 5 2 2 4 2" xfId="6679" xr:uid="{00000000-0005-0000-0000-0000BA590000}"/>
    <cellStyle name="Normal 4 5 2 2 4 2 2" xfId="21500" xr:uid="{00000000-0005-0000-0000-0000BB590000}"/>
    <cellStyle name="Normal 4 5 2 2 4 2 3" xfId="27278" xr:uid="{00000000-0005-0000-0000-0000BC590000}"/>
    <cellStyle name="Normal 4 5 2 2 4 3" xfId="21499" xr:uid="{00000000-0005-0000-0000-0000BD590000}"/>
    <cellStyle name="Normal 4 5 2 2 4 4" xfId="27277" xr:uid="{00000000-0005-0000-0000-0000BE590000}"/>
    <cellStyle name="Normal 4 5 2 2 5" xfId="4924" xr:uid="{00000000-0005-0000-0000-0000BF590000}"/>
    <cellStyle name="Normal 4 5 2 2 5 2" xfId="6680" xr:uid="{00000000-0005-0000-0000-0000C0590000}"/>
    <cellStyle name="Normal 4 5 2 2 5 2 2" xfId="27280" xr:uid="{00000000-0005-0000-0000-0000C1590000}"/>
    <cellStyle name="Normal 4 5 2 2 5 3" xfId="21501" xr:uid="{00000000-0005-0000-0000-0000C2590000}"/>
    <cellStyle name="Normal 4 5 2 2 5 4" xfId="27279" xr:uid="{00000000-0005-0000-0000-0000C3590000}"/>
    <cellStyle name="Normal 4 5 2 2 6" xfId="6674" xr:uid="{00000000-0005-0000-0000-0000C4590000}"/>
    <cellStyle name="Normal 4 5 2 2 6 2" xfId="27281" xr:uid="{00000000-0005-0000-0000-0000C5590000}"/>
    <cellStyle name="Normal 4 5 2 2 7" xfId="21490" xr:uid="{00000000-0005-0000-0000-0000C6590000}"/>
    <cellStyle name="Normal 4 5 2 2 8" xfId="25067" xr:uid="{00000000-0005-0000-0000-0000C7590000}"/>
    <cellStyle name="Normal 4 5 2 2 9" xfId="27268" xr:uid="{00000000-0005-0000-0000-0000C8590000}"/>
    <cellStyle name="Normal 4 5 2 3" xfId="4926" xr:uid="{00000000-0005-0000-0000-0000C9590000}"/>
    <cellStyle name="Normal 4 5 2 3 2" xfId="5499" xr:uid="{00000000-0005-0000-0000-0000CA590000}"/>
    <cellStyle name="Normal 4 5 2 3 2 2" xfId="6682" xr:uid="{00000000-0005-0000-0000-0000CB590000}"/>
    <cellStyle name="Normal 4 5 2 3 2 2 2" xfId="21504" xr:uid="{00000000-0005-0000-0000-0000CC590000}"/>
    <cellStyle name="Normal 4 5 2 3 2 2 3" xfId="27284" xr:uid="{00000000-0005-0000-0000-0000CD590000}"/>
    <cellStyle name="Normal 4 5 2 3 2 3" xfId="21503" xr:uid="{00000000-0005-0000-0000-0000CE590000}"/>
    <cellStyle name="Normal 4 5 2 3 2 4" xfId="27283" xr:uid="{00000000-0005-0000-0000-0000CF590000}"/>
    <cellStyle name="Normal 4 5 2 3 3" xfId="5809" xr:uid="{00000000-0005-0000-0000-0000D0590000}"/>
    <cellStyle name="Normal 4 5 2 3 3 2" xfId="6683" xr:uid="{00000000-0005-0000-0000-0000D1590000}"/>
    <cellStyle name="Normal 4 5 2 3 3 2 2" xfId="27286" xr:uid="{00000000-0005-0000-0000-0000D2590000}"/>
    <cellStyle name="Normal 4 5 2 3 3 3" xfId="21505" xr:uid="{00000000-0005-0000-0000-0000D3590000}"/>
    <cellStyle name="Normal 4 5 2 3 3 4" xfId="27285" xr:uid="{00000000-0005-0000-0000-0000D4590000}"/>
    <cellStyle name="Normal 4 5 2 3 4" xfId="6681" xr:uid="{00000000-0005-0000-0000-0000D5590000}"/>
    <cellStyle name="Normal 4 5 2 3 4 2" xfId="27287" xr:uid="{00000000-0005-0000-0000-0000D6590000}"/>
    <cellStyle name="Normal 4 5 2 3 5" xfId="21502" xr:uid="{00000000-0005-0000-0000-0000D7590000}"/>
    <cellStyle name="Normal 4 5 2 3 6" xfId="27282" xr:uid="{00000000-0005-0000-0000-0000D8590000}"/>
    <cellStyle name="Normal 4 5 2 4" xfId="5496" xr:uid="{00000000-0005-0000-0000-0000D9590000}"/>
    <cellStyle name="Normal 4 5 2 4 2" xfId="6684" xr:uid="{00000000-0005-0000-0000-0000DA590000}"/>
    <cellStyle name="Normal 4 5 2 4 2 2" xfId="21508" xr:uid="{00000000-0005-0000-0000-0000DB590000}"/>
    <cellStyle name="Normal 4 5 2 4 2 3" xfId="21507" xr:uid="{00000000-0005-0000-0000-0000DC590000}"/>
    <cellStyle name="Normal 4 5 2 4 2 4" xfId="27289" xr:uid="{00000000-0005-0000-0000-0000DD590000}"/>
    <cellStyle name="Normal 4 5 2 4 3" xfId="21509" xr:uid="{00000000-0005-0000-0000-0000DE590000}"/>
    <cellStyle name="Normal 4 5 2 4 3 2" xfId="21510" xr:uid="{00000000-0005-0000-0000-0000DF590000}"/>
    <cellStyle name="Normal 4 5 2 4 4" xfId="21511" xr:uid="{00000000-0005-0000-0000-0000E0590000}"/>
    <cellStyle name="Normal 4 5 2 4 5" xfId="21506" xr:uid="{00000000-0005-0000-0000-0000E1590000}"/>
    <cellStyle name="Normal 4 5 2 4 6" xfId="27288" xr:uid="{00000000-0005-0000-0000-0000E2590000}"/>
    <cellStyle name="Normal 4 5 2 5" xfId="5806" xr:uid="{00000000-0005-0000-0000-0000E3590000}"/>
    <cellStyle name="Normal 4 5 2 5 2" xfId="6685" xr:uid="{00000000-0005-0000-0000-0000E4590000}"/>
    <cellStyle name="Normal 4 5 2 5 2 2" xfId="21513" xr:uid="{00000000-0005-0000-0000-0000E5590000}"/>
    <cellStyle name="Normal 4 5 2 5 2 3" xfId="27291" xr:uid="{00000000-0005-0000-0000-0000E6590000}"/>
    <cellStyle name="Normal 4 5 2 5 3" xfId="21512" xr:uid="{00000000-0005-0000-0000-0000E7590000}"/>
    <cellStyle name="Normal 4 5 2 5 4" xfId="27290" xr:uid="{00000000-0005-0000-0000-0000E8590000}"/>
    <cellStyle name="Normal 4 5 2 6" xfId="4923" xr:uid="{00000000-0005-0000-0000-0000E9590000}"/>
    <cellStyle name="Normal 4 5 2 6 2" xfId="6686" xr:uid="{00000000-0005-0000-0000-0000EA590000}"/>
    <cellStyle name="Normal 4 5 2 6 2 2" xfId="21515" xr:uid="{00000000-0005-0000-0000-0000EB590000}"/>
    <cellStyle name="Normal 4 5 2 6 2 3" xfId="27293" xr:uid="{00000000-0005-0000-0000-0000EC590000}"/>
    <cellStyle name="Normal 4 5 2 6 3" xfId="21514" xr:uid="{00000000-0005-0000-0000-0000ED590000}"/>
    <cellStyle name="Normal 4 5 2 6 4" xfId="27292" xr:uid="{00000000-0005-0000-0000-0000EE590000}"/>
    <cellStyle name="Normal 4 5 2 7" xfId="6673" xr:uid="{00000000-0005-0000-0000-0000EF590000}"/>
    <cellStyle name="Normal 4 5 2 7 2" xfId="21516" xr:uid="{00000000-0005-0000-0000-0000F0590000}"/>
    <cellStyle name="Normal 4 5 2 7 3" xfId="27294" xr:uid="{00000000-0005-0000-0000-0000F1590000}"/>
    <cellStyle name="Normal 4 5 2 8" xfId="21489" xr:uid="{00000000-0005-0000-0000-0000F2590000}"/>
    <cellStyle name="Normal 4 5 2 9" xfId="24947" xr:uid="{00000000-0005-0000-0000-0000F3590000}"/>
    <cellStyle name="Normal 4 5 3" xfId="1393" xr:uid="{00000000-0005-0000-0000-0000F4590000}"/>
    <cellStyle name="Normal 4 5 3 2" xfId="21517" xr:uid="{00000000-0005-0000-0000-0000F5590000}"/>
    <cellStyle name="Normal 4 5 4" xfId="3928" xr:uid="{00000000-0005-0000-0000-0000F6590000}"/>
    <cellStyle name="Normal 4 5 4 2" xfId="21519" xr:uid="{00000000-0005-0000-0000-0000F7590000}"/>
    <cellStyle name="Normal 4 5 4 3" xfId="21518" xr:uid="{00000000-0005-0000-0000-0000F8590000}"/>
    <cellStyle name="Normal 4 5 5" xfId="21520" xr:uid="{00000000-0005-0000-0000-0000F9590000}"/>
    <cellStyle name="Normal 4 5 5 2" xfId="21521" xr:uid="{00000000-0005-0000-0000-0000FA590000}"/>
    <cellStyle name="Normal 4 6" xfId="1068" xr:uid="{00000000-0005-0000-0000-0000FB590000}"/>
    <cellStyle name="Normal 4 6 10" xfId="21522" xr:uid="{00000000-0005-0000-0000-0000FC590000}"/>
    <cellStyle name="Normal 4 6 2" xfId="3813" xr:uid="{00000000-0005-0000-0000-0000FD590000}"/>
    <cellStyle name="Normal 4 6 2 10" xfId="27295" xr:uid="{00000000-0005-0000-0000-0000FE590000}"/>
    <cellStyle name="Normal 4 6 2 2" xfId="4218" xr:uid="{00000000-0005-0000-0000-0000FF590000}"/>
    <cellStyle name="Normal 4 6 2 2 2" xfId="4930" xr:uid="{00000000-0005-0000-0000-0000005A0000}"/>
    <cellStyle name="Normal 4 6 2 2 2 2" xfId="5503" xr:uid="{00000000-0005-0000-0000-0000015A0000}"/>
    <cellStyle name="Normal 4 6 2 2 2 2 2" xfId="6690" xr:uid="{00000000-0005-0000-0000-0000025A0000}"/>
    <cellStyle name="Normal 4 6 2 2 2 2 2 2" xfId="21527" xr:uid="{00000000-0005-0000-0000-0000035A0000}"/>
    <cellStyle name="Normal 4 6 2 2 2 2 2 3" xfId="27299" xr:uid="{00000000-0005-0000-0000-0000045A0000}"/>
    <cellStyle name="Normal 4 6 2 2 2 2 3" xfId="21526" xr:uid="{00000000-0005-0000-0000-0000055A0000}"/>
    <cellStyle name="Normal 4 6 2 2 2 2 4" xfId="27298" xr:uid="{00000000-0005-0000-0000-0000065A0000}"/>
    <cellStyle name="Normal 4 6 2 2 2 3" xfId="5813" xr:uid="{00000000-0005-0000-0000-0000075A0000}"/>
    <cellStyle name="Normal 4 6 2 2 2 3 2" xfId="6691" xr:uid="{00000000-0005-0000-0000-0000085A0000}"/>
    <cellStyle name="Normal 4 6 2 2 2 3 2 2" xfId="21529" xr:uid="{00000000-0005-0000-0000-0000095A0000}"/>
    <cellStyle name="Normal 4 6 2 2 2 3 2 3" xfId="27301" xr:uid="{00000000-0005-0000-0000-00000A5A0000}"/>
    <cellStyle name="Normal 4 6 2 2 2 3 3" xfId="21528" xr:uid="{00000000-0005-0000-0000-00000B5A0000}"/>
    <cellStyle name="Normal 4 6 2 2 2 3 4" xfId="27300" xr:uid="{00000000-0005-0000-0000-00000C5A0000}"/>
    <cellStyle name="Normal 4 6 2 2 2 4" xfId="6689" xr:uid="{00000000-0005-0000-0000-00000D5A0000}"/>
    <cellStyle name="Normal 4 6 2 2 2 4 2" xfId="21530" xr:uid="{00000000-0005-0000-0000-00000E5A0000}"/>
    <cellStyle name="Normal 4 6 2 2 2 4 3" xfId="27302" xr:uid="{00000000-0005-0000-0000-00000F5A0000}"/>
    <cellStyle name="Normal 4 6 2 2 2 5" xfId="21525" xr:uid="{00000000-0005-0000-0000-0000105A0000}"/>
    <cellStyle name="Normal 4 6 2 2 2 6" xfId="27297" xr:uid="{00000000-0005-0000-0000-0000115A0000}"/>
    <cellStyle name="Normal 4 6 2 2 3" xfId="5502" xr:uid="{00000000-0005-0000-0000-0000125A0000}"/>
    <cellStyle name="Normal 4 6 2 2 3 2" xfId="6692" xr:uid="{00000000-0005-0000-0000-0000135A0000}"/>
    <cellStyle name="Normal 4 6 2 2 3 2 2" xfId="21532" xr:uid="{00000000-0005-0000-0000-0000145A0000}"/>
    <cellStyle name="Normal 4 6 2 2 3 2 3" xfId="27304" xr:uid="{00000000-0005-0000-0000-0000155A0000}"/>
    <cellStyle name="Normal 4 6 2 2 3 3" xfId="21531" xr:uid="{00000000-0005-0000-0000-0000165A0000}"/>
    <cellStyle name="Normal 4 6 2 2 3 4" xfId="27303" xr:uid="{00000000-0005-0000-0000-0000175A0000}"/>
    <cellStyle name="Normal 4 6 2 2 4" xfId="5812" xr:uid="{00000000-0005-0000-0000-0000185A0000}"/>
    <cellStyle name="Normal 4 6 2 2 4 2" xfId="6693" xr:uid="{00000000-0005-0000-0000-0000195A0000}"/>
    <cellStyle name="Normal 4 6 2 2 4 2 2" xfId="21534" xr:uid="{00000000-0005-0000-0000-00001A5A0000}"/>
    <cellStyle name="Normal 4 6 2 2 4 2 3" xfId="27306" xr:uid="{00000000-0005-0000-0000-00001B5A0000}"/>
    <cellStyle name="Normal 4 6 2 2 4 3" xfId="21533" xr:uid="{00000000-0005-0000-0000-00001C5A0000}"/>
    <cellStyle name="Normal 4 6 2 2 4 4" xfId="27305" xr:uid="{00000000-0005-0000-0000-00001D5A0000}"/>
    <cellStyle name="Normal 4 6 2 2 5" xfId="4929" xr:uid="{00000000-0005-0000-0000-00001E5A0000}"/>
    <cellStyle name="Normal 4 6 2 2 5 2" xfId="6694" xr:uid="{00000000-0005-0000-0000-00001F5A0000}"/>
    <cellStyle name="Normal 4 6 2 2 5 2 2" xfId="27308" xr:uid="{00000000-0005-0000-0000-0000205A0000}"/>
    <cellStyle name="Normal 4 6 2 2 5 3" xfId="21535" xr:uid="{00000000-0005-0000-0000-0000215A0000}"/>
    <cellStyle name="Normal 4 6 2 2 5 4" xfId="27307" xr:uid="{00000000-0005-0000-0000-0000225A0000}"/>
    <cellStyle name="Normal 4 6 2 2 6" xfId="6688" xr:uid="{00000000-0005-0000-0000-0000235A0000}"/>
    <cellStyle name="Normal 4 6 2 2 6 2" xfId="27309" xr:uid="{00000000-0005-0000-0000-0000245A0000}"/>
    <cellStyle name="Normal 4 6 2 2 7" xfId="21524" xr:uid="{00000000-0005-0000-0000-0000255A0000}"/>
    <cellStyle name="Normal 4 6 2 2 8" xfId="25070" xr:uid="{00000000-0005-0000-0000-0000265A0000}"/>
    <cellStyle name="Normal 4 6 2 2 9" xfId="27296" xr:uid="{00000000-0005-0000-0000-0000275A0000}"/>
    <cellStyle name="Normal 4 6 2 3" xfId="4931" xr:uid="{00000000-0005-0000-0000-0000285A0000}"/>
    <cellStyle name="Normal 4 6 2 3 2" xfId="5504" xr:uid="{00000000-0005-0000-0000-0000295A0000}"/>
    <cellStyle name="Normal 4 6 2 3 2 2" xfId="6696" xr:uid="{00000000-0005-0000-0000-00002A5A0000}"/>
    <cellStyle name="Normal 4 6 2 3 2 2 2" xfId="21538" xr:uid="{00000000-0005-0000-0000-00002B5A0000}"/>
    <cellStyle name="Normal 4 6 2 3 2 2 3" xfId="27312" xr:uid="{00000000-0005-0000-0000-00002C5A0000}"/>
    <cellStyle name="Normal 4 6 2 3 2 3" xfId="21537" xr:uid="{00000000-0005-0000-0000-00002D5A0000}"/>
    <cellStyle name="Normal 4 6 2 3 2 4" xfId="27311" xr:uid="{00000000-0005-0000-0000-00002E5A0000}"/>
    <cellStyle name="Normal 4 6 2 3 3" xfId="5814" xr:uid="{00000000-0005-0000-0000-00002F5A0000}"/>
    <cellStyle name="Normal 4 6 2 3 3 2" xfId="6697" xr:uid="{00000000-0005-0000-0000-0000305A0000}"/>
    <cellStyle name="Normal 4 6 2 3 3 2 2" xfId="27314" xr:uid="{00000000-0005-0000-0000-0000315A0000}"/>
    <cellStyle name="Normal 4 6 2 3 3 3" xfId="21539" xr:uid="{00000000-0005-0000-0000-0000325A0000}"/>
    <cellStyle name="Normal 4 6 2 3 3 4" xfId="27313" xr:uid="{00000000-0005-0000-0000-0000335A0000}"/>
    <cellStyle name="Normal 4 6 2 3 4" xfId="6695" xr:uid="{00000000-0005-0000-0000-0000345A0000}"/>
    <cellStyle name="Normal 4 6 2 3 4 2" xfId="27315" xr:uid="{00000000-0005-0000-0000-0000355A0000}"/>
    <cellStyle name="Normal 4 6 2 3 5" xfId="21536" xr:uid="{00000000-0005-0000-0000-0000365A0000}"/>
    <cellStyle name="Normal 4 6 2 3 6" xfId="27310" xr:uid="{00000000-0005-0000-0000-0000375A0000}"/>
    <cellStyle name="Normal 4 6 2 4" xfId="5501" xr:uid="{00000000-0005-0000-0000-0000385A0000}"/>
    <cellStyle name="Normal 4 6 2 4 2" xfId="6698" xr:uid="{00000000-0005-0000-0000-0000395A0000}"/>
    <cellStyle name="Normal 4 6 2 4 2 2" xfId="21542" xr:uid="{00000000-0005-0000-0000-00003A5A0000}"/>
    <cellStyle name="Normal 4 6 2 4 2 3" xfId="21541" xr:uid="{00000000-0005-0000-0000-00003B5A0000}"/>
    <cellStyle name="Normal 4 6 2 4 2 4" xfId="27317" xr:uid="{00000000-0005-0000-0000-00003C5A0000}"/>
    <cellStyle name="Normal 4 6 2 4 3" xfId="21543" xr:uid="{00000000-0005-0000-0000-00003D5A0000}"/>
    <cellStyle name="Normal 4 6 2 4 3 2" xfId="21544" xr:uid="{00000000-0005-0000-0000-00003E5A0000}"/>
    <cellStyle name="Normal 4 6 2 4 4" xfId="21545" xr:uid="{00000000-0005-0000-0000-00003F5A0000}"/>
    <cellStyle name="Normal 4 6 2 4 5" xfId="21540" xr:uid="{00000000-0005-0000-0000-0000405A0000}"/>
    <cellStyle name="Normal 4 6 2 4 6" xfId="27316" xr:uid="{00000000-0005-0000-0000-0000415A0000}"/>
    <cellStyle name="Normal 4 6 2 5" xfId="5811" xr:uid="{00000000-0005-0000-0000-0000425A0000}"/>
    <cellStyle name="Normal 4 6 2 5 2" xfId="6699" xr:uid="{00000000-0005-0000-0000-0000435A0000}"/>
    <cellStyle name="Normal 4 6 2 5 2 2" xfId="21547" xr:uid="{00000000-0005-0000-0000-0000445A0000}"/>
    <cellStyle name="Normal 4 6 2 5 2 3" xfId="27319" xr:uid="{00000000-0005-0000-0000-0000455A0000}"/>
    <cellStyle name="Normal 4 6 2 5 3" xfId="21546" xr:uid="{00000000-0005-0000-0000-0000465A0000}"/>
    <cellStyle name="Normal 4 6 2 5 4" xfId="27318" xr:uid="{00000000-0005-0000-0000-0000475A0000}"/>
    <cellStyle name="Normal 4 6 2 6" xfId="4928" xr:uid="{00000000-0005-0000-0000-0000485A0000}"/>
    <cellStyle name="Normal 4 6 2 6 2" xfId="6700" xr:uid="{00000000-0005-0000-0000-0000495A0000}"/>
    <cellStyle name="Normal 4 6 2 6 2 2" xfId="21549" xr:uid="{00000000-0005-0000-0000-00004A5A0000}"/>
    <cellStyle name="Normal 4 6 2 6 2 3" xfId="27321" xr:uid="{00000000-0005-0000-0000-00004B5A0000}"/>
    <cellStyle name="Normal 4 6 2 6 3" xfId="21548" xr:uid="{00000000-0005-0000-0000-00004C5A0000}"/>
    <cellStyle name="Normal 4 6 2 6 4" xfId="27320" xr:uid="{00000000-0005-0000-0000-00004D5A0000}"/>
    <cellStyle name="Normal 4 6 2 7" xfId="6687" xr:uid="{00000000-0005-0000-0000-00004E5A0000}"/>
    <cellStyle name="Normal 4 6 2 7 2" xfId="21550" xr:uid="{00000000-0005-0000-0000-00004F5A0000}"/>
    <cellStyle name="Normal 4 6 2 7 3" xfId="27322" xr:uid="{00000000-0005-0000-0000-0000505A0000}"/>
    <cellStyle name="Normal 4 6 2 8" xfId="21523" xr:uid="{00000000-0005-0000-0000-0000515A0000}"/>
    <cellStyle name="Normal 4 6 2 9" xfId="24950" xr:uid="{00000000-0005-0000-0000-0000525A0000}"/>
    <cellStyle name="Normal 4 6 3" xfId="1438" xr:uid="{00000000-0005-0000-0000-0000535A0000}"/>
    <cellStyle name="Normal 4 6 3 2" xfId="4184" xr:uid="{00000000-0005-0000-0000-0000545A0000}"/>
    <cellStyle name="Normal 4 6 3 2 2" xfId="5506" xr:uid="{00000000-0005-0000-0000-0000555A0000}"/>
    <cellStyle name="Normal 4 6 3 2 2 2" xfId="6703" xr:uid="{00000000-0005-0000-0000-0000565A0000}"/>
    <cellStyle name="Normal 4 6 3 2 2 2 2" xfId="21554" xr:uid="{00000000-0005-0000-0000-0000575A0000}"/>
    <cellStyle name="Normal 4 6 3 2 2 2 3" xfId="27326" xr:uid="{00000000-0005-0000-0000-0000585A0000}"/>
    <cellStyle name="Normal 4 6 3 2 2 3" xfId="21553" xr:uid="{00000000-0005-0000-0000-0000595A0000}"/>
    <cellStyle name="Normal 4 6 3 2 2 4" xfId="27325" xr:uid="{00000000-0005-0000-0000-00005A5A0000}"/>
    <cellStyle name="Normal 4 6 3 2 3" xfId="5816" xr:uid="{00000000-0005-0000-0000-00005B5A0000}"/>
    <cellStyle name="Normal 4 6 3 2 3 2" xfId="6704" xr:uid="{00000000-0005-0000-0000-00005C5A0000}"/>
    <cellStyle name="Normal 4 6 3 2 3 2 2" xfId="27328" xr:uid="{00000000-0005-0000-0000-00005D5A0000}"/>
    <cellStyle name="Normal 4 6 3 2 3 3" xfId="21555" xr:uid="{00000000-0005-0000-0000-00005E5A0000}"/>
    <cellStyle name="Normal 4 6 3 2 3 4" xfId="27327" xr:uid="{00000000-0005-0000-0000-00005F5A0000}"/>
    <cellStyle name="Normal 4 6 3 2 4" xfId="4933" xr:uid="{00000000-0005-0000-0000-0000605A0000}"/>
    <cellStyle name="Normal 4 6 3 2 4 2" xfId="6705" xr:uid="{00000000-0005-0000-0000-0000615A0000}"/>
    <cellStyle name="Normal 4 6 3 2 4 2 2" xfId="27330" xr:uid="{00000000-0005-0000-0000-0000625A0000}"/>
    <cellStyle name="Normal 4 6 3 2 4 3" xfId="27329" xr:uid="{00000000-0005-0000-0000-0000635A0000}"/>
    <cellStyle name="Normal 4 6 3 2 5" xfId="6702" xr:uid="{00000000-0005-0000-0000-0000645A0000}"/>
    <cellStyle name="Normal 4 6 3 2 5 2" xfId="27331" xr:uid="{00000000-0005-0000-0000-0000655A0000}"/>
    <cellStyle name="Normal 4 6 3 2 6" xfId="21552" xr:uid="{00000000-0005-0000-0000-0000665A0000}"/>
    <cellStyle name="Normal 4 6 3 2 7" xfId="25036" xr:uid="{00000000-0005-0000-0000-0000675A0000}"/>
    <cellStyle name="Normal 4 6 3 2 8" xfId="27324" xr:uid="{00000000-0005-0000-0000-0000685A0000}"/>
    <cellStyle name="Normal 4 6 3 3" xfId="5505" xr:uid="{00000000-0005-0000-0000-0000695A0000}"/>
    <cellStyle name="Normal 4 6 3 3 2" xfId="6706" xr:uid="{00000000-0005-0000-0000-00006A5A0000}"/>
    <cellStyle name="Normal 4 6 3 3 2 2" xfId="21558" xr:uid="{00000000-0005-0000-0000-00006B5A0000}"/>
    <cellStyle name="Normal 4 6 3 3 2 3" xfId="21557" xr:uid="{00000000-0005-0000-0000-00006C5A0000}"/>
    <cellStyle name="Normal 4 6 3 3 2 4" xfId="27333" xr:uid="{00000000-0005-0000-0000-00006D5A0000}"/>
    <cellStyle name="Normal 4 6 3 3 3" xfId="21559" xr:uid="{00000000-0005-0000-0000-00006E5A0000}"/>
    <cellStyle name="Normal 4 6 3 3 3 2" xfId="21560" xr:uid="{00000000-0005-0000-0000-00006F5A0000}"/>
    <cellStyle name="Normal 4 6 3 3 4" xfId="21561" xr:uid="{00000000-0005-0000-0000-0000705A0000}"/>
    <cellStyle name="Normal 4 6 3 3 5" xfId="21556" xr:uid="{00000000-0005-0000-0000-0000715A0000}"/>
    <cellStyle name="Normal 4 6 3 3 6" xfId="27332" xr:uid="{00000000-0005-0000-0000-0000725A0000}"/>
    <cellStyle name="Normal 4 6 3 4" xfId="5815" xr:uid="{00000000-0005-0000-0000-0000735A0000}"/>
    <cellStyle name="Normal 4 6 3 4 2" xfId="6707" xr:uid="{00000000-0005-0000-0000-0000745A0000}"/>
    <cellStyle name="Normal 4 6 3 4 2 2" xfId="21563" xr:uid="{00000000-0005-0000-0000-0000755A0000}"/>
    <cellStyle name="Normal 4 6 3 4 2 3" xfId="27335" xr:uid="{00000000-0005-0000-0000-0000765A0000}"/>
    <cellStyle name="Normal 4 6 3 4 3" xfId="21562" xr:uid="{00000000-0005-0000-0000-0000775A0000}"/>
    <cellStyle name="Normal 4 6 3 4 4" xfId="27334" xr:uid="{00000000-0005-0000-0000-0000785A0000}"/>
    <cellStyle name="Normal 4 6 3 5" xfId="4932" xr:uid="{00000000-0005-0000-0000-0000795A0000}"/>
    <cellStyle name="Normal 4 6 3 5 2" xfId="6708" xr:uid="{00000000-0005-0000-0000-00007A5A0000}"/>
    <cellStyle name="Normal 4 6 3 5 2 2" xfId="21565" xr:uid="{00000000-0005-0000-0000-00007B5A0000}"/>
    <cellStyle name="Normal 4 6 3 5 2 3" xfId="27337" xr:uid="{00000000-0005-0000-0000-00007C5A0000}"/>
    <cellStyle name="Normal 4 6 3 5 3" xfId="21564" xr:uid="{00000000-0005-0000-0000-00007D5A0000}"/>
    <cellStyle name="Normal 4 6 3 5 4" xfId="27336" xr:uid="{00000000-0005-0000-0000-00007E5A0000}"/>
    <cellStyle name="Normal 4 6 3 6" xfId="6701" xr:uid="{00000000-0005-0000-0000-00007F5A0000}"/>
    <cellStyle name="Normal 4 6 3 6 2" xfId="21566" xr:uid="{00000000-0005-0000-0000-0000805A0000}"/>
    <cellStyle name="Normal 4 6 3 6 3" xfId="27338" xr:uid="{00000000-0005-0000-0000-0000815A0000}"/>
    <cellStyle name="Normal 4 6 3 7" xfId="21551" xr:uid="{00000000-0005-0000-0000-0000825A0000}"/>
    <cellStyle name="Normal 4 6 3 8" xfId="24916" xr:uid="{00000000-0005-0000-0000-0000835A0000}"/>
    <cellStyle name="Normal 4 6 3 9" xfId="27323" xr:uid="{00000000-0005-0000-0000-0000845A0000}"/>
    <cellStyle name="Normal 4 6 4" xfId="3938" xr:uid="{00000000-0005-0000-0000-0000855A0000}"/>
    <cellStyle name="Normal 4 6 4 2" xfId="5507" xr:uid="{00000000-0005-0000-0000-0000865A0000}"/>
    <cellStyle name="Normal 4 6 4 2 2" xfId="6709" xr:uid="{00000000-0005-0000-0000-0000875A0000}"/>
    <cellStyle name="Normal 4 6 4 2 2 2" xfId="21569" xr:uid="{00000000-0005-0000-0000-0000885A0000}"/>
    <cellStyle name="Normal 4 6 4 2 2 3" xfId="27340" xr:uid="{00000000-0005-0000-0000-0000895A0000}"/>
    <cellStyle name="Normal 4 6 4 2 3" xfId="21568" xr:uid="{00000000-0005-0000-0000-00008A5A0000}"/>
    <cellStyle name="Normal 4 6 4 2 4" xfId="27339" xr:uid="{00000000-0005-0000-0000-00008B5A0000}"/>
    <cellStyle name="Normal 4 6 4 3" xfId="5817" xr:uid="{00000000-0005-0000-0000-00008C5A0000}"/>
    <cellStyle name="Normal 4 6 4 3 2" xfId="6710" xr:uid="{00000000-0005-0000-0000-00008D5A0000}"/>
    <cellStyle name="Normal 4 6 4 3 2 2" xfId="27342" xr:uid="{00000000-0005-0000-0000-00008E5A0000}"/>
    <cellStyle name="Normal 4 6 4 3 3" xfId="21570" xr:uid="{00000000-0005-0000-0000-00008F5A0000}"/>
    <cellStyle name="Normal 4 6 4 3 4" xfId="27341" xr:uid="{00000000-0005-0000-0000-0000905A0000}"/>
    <cellStyle name="Normal 4 6 4 4" xfId="4934" xr:uid="{00000000-0005-0000-0000-0000915A0000}"/>
    <cellStyle name="Normal 4 6 4 4 2" xfId="6711" xr:uid="{00000000-0005-0000-0000-0000925A0000}"/>
    <cellStyle name="Normal 4 6 4 4 2 2" xfId="27344" xr:uid="{00000000-0005-0000-0000-0000935A0000}"/>
    <cellStyle name="Normal 4 6 4 4 3" xfId="27343" xr:uid="{00000000-0005-0000-0000-0000945A0000}"/>
    <cellStyle name="Normal 4 6 4 5" xfId="21567" xr:uid="{00000000-0005-0000-0000-0000955A0000}"/>
    <cellStyle name="Normal 4 6 5" xfId="5500" xr:uid="{00000000-0005-0000-0000-0000965A0000}"/>
    <cellStyle name="Normal 4 6 5 2" xfId="6712" xr:uid="{00000000-0005-0000-0000-0000975A0000}"/>
    <cellStyle name="Normal 4 6 5 2 2" xfId="21573" xr:uid="{00000000-0005-0000-0000-0000985A0000}"/>
    <cellStyle name="Normal 4 6 5 2 3" xfId="21572" xr:uid="{00000000-0005-0000-0000-0000995A0000}"/>
    <cellStyle name="Normal 4 6 5 2 4" xfId="27346" xr:uid="{00000000-0005-0000-0000-00009A5A0000}"/>
    <cellStyle name="Normal 4 6 5 3" xfId="21574" xr:uid="{00000000-0005-0000-0000-00009B5A0000}"/>
    <cellStyle name="Normal 4 6 5 4" xfId="21571" xr:uid="{00000000-0005-0000-0000-00009C5A0000}"/>
    <cellStyle name="Normal 4 6 5 5" xfId="27345" xr:uid="{00000000-0005-0000-0000-00009D5A0000}"/>
    <cellStyle name="Normal 4 6 6" xfId="5810" xr:uid="{00000000-0005-0000-0000-00009E5A0000}"/>
    <cellStyle name="Normal 4 6 6 2" xfId="6713" xr:uid="{00000000-0005-0000-0000-00009F5A0000}"/>
    <cellStyle name="Normal 4 6 6 2 2" xfId="21577" xr:uid="{00000000-0005-0000-0000-0000A05A0000}"/>
    <cellStyle name="Normal 4 6 6 2 3" xfId="21576" xr:uid="{00000000-0005-0000-0000-0000A15A0000}"/>
    <cellStyle name="Normal 4 6 6 2 4" xfId="27348" xr:uid="{00000000-0005-0000-0000-0000A25A0000}"/>
    <cellStyle name="Normal 4 6 6 3" xfId="21578" xr:uid="{00000000-0005-0000-0000-0000A35A0000}"/>
    <cellStyle name="Normal 4 6 6 4" xfId="21575" xr:uid="{00000000-0005-0000-0000-0000A45A0000}"/>
    <cellStyle name="Normal 4 6 6 5" xfId="27347" xr:uid="{00000000-0005-0000-0000-0000A55A0000}"/>
    <cellStyle name="Normal 4 6 7" xfId="4927" xr:uid="{00000000-0005-0000-0000-0000A65A0000}"/>
    <cellStyle name="Normal 4 6 7 2" xfId="6714" xr:uid="{00000000-0005-0000-0000-0000A75A0000}"/>
    <cellStyle name="Normal 4 6 7 2 2" xfId="21580" xr:uid="{00000000-0005-0000-0000-0000A85A0000}"/>
    <cellStyle name="Normal 4 6 7 2 3" xfId="27350" xr:uid="{00000000-0005-0000-0000-0000A95A0000}"/>
    <cellStyle name="Normal 4 6 7 3" xfId="21579" xr:uid="{00000000-0005-0000-0000-0000AA5A0000}"/>
    <cellStyle name="Normal 4 6 7 4" xfId="27349" xr:uid="{00000000-0005-0000-0000-0000AB5A0000}"/>
    <cellStyle name="Normal 4 6 8" xfId="21581" xr:uid="{00000000-0005-0000-0000-0000AC5A0000}"/>
    <cellStyle name="Normal 4 6 8 2" xfId="21582" xr:uid="{00000000-0005-0000-0000-0000AD5A0000}"/>
    <cellStyle name="Normal 4 6 9" xfId="21583" xr:uid="{00000000-0005-0000-0000-0000AE5A0000}"/>
    <cellStyle name="Normal 4 7" xfId="1078" xr:uid="{00000000-0005-0000-0000-0000AF5A0000}"/>
    <cellStyle name="Normal 4 7 10" xfId="21584" xr:uid="{00000000-0005-0000-0000-0000B05A0000}"/>
    <cellStyle name="Normal 4 7 2" xfId="1537" xr:uid="{00000000-0005-0000-0000-0000B15A0000}"/>
    <cellStyle name="Normal 4 7 2 2" xfId="4190" xr:uid="{00000000-0005-0000-0000-0000B25A0000}"/>
    <cellStyle name="Normal 4 7 2 2 2" xfId="5510" xr:uid="{00000000-0005-0000-0000-0000B35A0000}"/>
    <cellStyle name="Normal 4 7 2 2 2 2" xfId="6717" xr:uid="{00000000-0005-0000-0000-0000B45A0000}"/>
    <cellStyle name="Normal 4 7 2 2 2 2 2" xfId="21588" xr:uid="{00000000-0005-0000-0000-0000B55A0000}"/>
    <cellStyle name="Normal 4 7 2 2 2 2 3" xfId="27354" xr:uid="{00000000-0005-0000-0000-0000B65A0000}"/>
    <cellStyle name="Normal 4 7 2 2 2 3" xfId="21587" xr:uid="{00000000-0005-0000-0000-0000B75A0000}"/>
    <cellStyle name="Normal 4 7 2 2 2 4" xfId="27353" xr:uid="{00000000-0005-0000-0000-0000B85A0000}"/>
    <cellStyle name="Normal 4 7 2 2 3" xfId="5820" xr:uid="{00000000-0005-0000-0000-0000B95A0000}"/>
    <cellStyle name="Normal 4 7 2 2 3 2" xfId="6718" xr:uid="{00000000-0005-0000-0000-0000BA5A0000}"/>
    <cellStyle name="Normal 4 7 2 2 3 2 2" xfId="27356" xr:uid="{00000000-0005-0000-0000-0000BB5A0000}"/>
    <cellStyle name="Normal 4 7 2 2 3 3" xfId="21589" xr:uid="{00000000-0005-0000-0000-0000BC5A0000}"/>
    <cellStyle name="Normal 4 7 2 2 3 4" xfId="27355" xr:uid="{00000000-0005-0000-0000-0000BD5A0000}"/>
    <cellStyle name="Normal 4 7 2 2 4" xfId="4937" xr:uid="{00000000-0005-0000-0000-0000BE5A0000}"/>
    <cellStyle name="Normal 4 7 2 2 4 2" xfId="6719" xr:uid="{00000000-0005-0000-0000-0000BF5A0000}"/>
    <cellStyle name="Normal 4 7 2 2 4 2 2" xfId="27358" xr:uid="{00000000-0005-0000-0000-0000C05A0000}"/>
    <cellStyle name="Normal 4 7 2 2 4 3" xfId="27357" xr:uid="{00000000-0005-0000-0000-0000C15A0000}"/>
    <cellStyle name="Normal 4 7 2 2 5" xfId="6716" xr:uid="{00000000-0005-0000-0000-0000C25A0000}"/>
    <cellStyle name="Normal 4 7 2 2 5 2" xfId="27359" xr:uid="{00000000-0005-0000-0000-0000C35A0000}"/>
    <cellStyle name="Normal 4 7 2 2 6" xfId="21586" xr:uid="{00000000-0005-0000-0000-0000C45A0000}"/>
    <cellStyle name="Normal 4 7 2 2 7" xfId="25042" xr:uid="{00000000-0005-0000-0000-0000C55A0000}"/>
    <cellStyle name="Normal 4 7 2 2 8" xfId="27352" xr:uid="{00000000-0005-0000-0000-0000C65A0000}"/>
    <cellStyle name="Normal 4 7 2 3" xfId="5509" xr:uid="{00000000-0005-0000-0000-0000C75A0000}"/>
    <cellStyle name="Normal 4 7 2 3 2" xfId="6720" xr:uid="{00000000-0005-0000-0000-0000C85A0000}"/>
    <cellStyle name="Normal 4 7 2 3 2 2" xfId="21592" xr:uid="{00000000-0005-0000-0000-0000C95A0000}"/>
    <cellStyle name="Normal 4 7 2 3 2 3" xfId="21591" xr:uid="{00000000-0005-0000-0000-0000CA5A0000}"/>
    <cellStyle name="Normal 4 7 2 3 2 4" xfId="27361" xr:uid="{00000000-0005-0000-0000-0000CB5A0000}"/>
    <cellStyle name="Normal 4 7 2 3 3" xfId="21593" xr:uid="{00000000-0005-0000-0000-0000CC5A0000}"/>
    <cellStyle name="Normal 4 7 2 3 3 2" xfId="21594" xr:uid="{00000000-0005-0000-0000-0000CD5A0000}"/>
    <cellStyle name="Normal 4 7 2 3 4" xfId="21595" xr:uid="{00000000-0005-0000-0000-0000CE5A0000}"/>
    <cellStyle name="Normal 4 7 2 3 5" xfId="21590" xr:uid="{00000000-0005-0000-0000-0000CF5A0000}"/>
    <cellStyle name="Normal 4 7 2 3 6" xfId="27360" xr:uid="{00000000-0005-0000-0000-0000D05A0000}"/>
    <cellStyle name="Normal 4 7 2 4" xfId="5819" xr:uid="{00000000-0005-0000-0000-0000D15A0000}"/>
    <cellStyle name="Normal 4 7 2 4 2" xfId="6721" xr:uid="{00000000-0005-0000-0000-0000D25A0000}"/>
    <cellStyle name="Normal 4 7 2 4 2 2" xfId="21597" xr:uid="{00000000-0005-0000-0000-0000D35A0000}"/>
    <cellStyle name="Normal 4 7 2 4 2 3" xfId="27363" xr:uid="{00000000-0005-0000-0000-0000D45A0000}"/>
    <cellStyle name="Normal 4 7 2 4 3" xfId="21596" xr:uid="{00000000-0005-0000-0000-0000D55A0000}"/>
    <cellStyle name="Normal 4 7 2 4 4" xfId="27362" xr:uid="{00000000-0005-0000-0000-0000D65A0000}"/>
    <cellStyle name="Normal 4 7 2 5" xfId="4936" xr:uid="{00000000-0005-0000-0000-0000D75A0000}"/>
    <cellStyle name="Normal 4 7 2 5 2" xfId="6722" xr:uid="{00000000-0005-0000-0000-0000D85A0000}"/>
    <cellStyle name="Normal 4 7 2 5 2 2" xfId="21599" xr:uid="{00000000-0005-0000-0000-0000D95A0000}"/>
    <cellStyle name="Normal 4 7 2 5 2 3" xfId="27365" xr:uid="{00000000-0005-0000-0000-0000DA5A0000}"/>
    <cellStyle name="Normal 4 7 2 5 3" xfId="21598" xr:uid="{00000000-0005-0000-0000-0000DB5A0000}"/>
    <cellStyle name="Normal 4 7 2 5 4" xfId="27364" xr:uid="{00000000-0005-0000-0000-0000DC5A0000}"/>
    <cellStyle name="Normal 4 7 2 6" xfId="6715" xr:uid="{00000000-0005-0000-0000-0000DD5A0000}"/>
    <cellStyle name="Normal 4 7 2 6 2" xfId="21600" xr:uid="{00000000-0005-0000-0000-0000DE5A0000}"/>
    <cellStyle name="Normal 4 7 2 6 3" xfId="27366" xr:uid="{00000000-0005-0000-0000-0000DF5A0000}"/>
    <cellStyle name="Normal 4 7 2 7" xfId="21585" xr:uid="{00000000-0005-0000-0000-0000E05A0000}"/>
    <cellStyle name="Normal 4 7 2 8" xfId="24922" xr:uid="{00000000-0005-0000-0000-0000E15A0000}"/>
    <cellStyle name="Normal 4 7 2 9" xfId="27351" xr:uid="{00000000-0005-0000-0000-0000E25A0000}"/>
    <cellStyle name="Normal 4 7 3" xfId="3948" xr:uid="{00000000-0005-0000-0000-0000E35A0000}"/>
    <cellStyle name="Normal 4 7 3 2" xfId="5511" xr:uid="{00000000-0005-0000-0000-0000E45A0000}"/>
    <cellStyle name="Normal 4 7 3 2 2" xfId="6723" xr:uid="{00000000-0005-0000-0000-0000E55A0000}"/>
    <cellStyle name="Normal 4 7 3 2 2 2" xfId="21603" xr:uid="{00000000-0005-0000-0000-0000E65A0000}"/>
    <cellStyle name="Normal 4 7 3 2 2 3" xfId="27368" xr:uid="{00000000-0005-0000-0000-0000E75A0000}"/>
    <cellStyle name="Normal 4 7 3 2 3" xfId="21602" xr:uid="{00000000-0005-0000-0000-0000E85A0000}"/>
    <cellStyle name="Normal 4 7 3 2 4" xfId="27367" xr:uid="{00000000-0005-0000-0000-0000E95A0000}"/>
    <cellStyle name="Normal 4 7 3 3" xfId="5821" xr:uid="{00000000-0005-0000-0000-0000EA5A0000}"/>
    <cellStyle name="Normal 4 7 3 3 2" xfId="6724" xr:uid="{00000000-0005-0000-0000-0000EB5A0000}"/>
    <cellStyle name="Normal 4 7 3 3 2 2" xfId="27370" xr:uid="{00000000-0005-0000-0000-0000EC5A0000}"/>
    <cellStyle name="Normal 4 7 3 3 3" xfId="21604" xr:uid="{00000000-0005-0000-0000-0000ED5A0000}"/>
    <cellStyle name="Normal 4 7 3 3 4" xfId="27369" xr:uid="{00000000-0005-0000-0000-0000EE5A0000}"/>
    <cellStyle name="Normal 4 7 3 4" xfId="4938" xr:uid="{00000000-0005-0000-0000-0000EF5A0000}"/>
    <cellStyle name="Normal 4 7 3 4 2" xfId="6725" xr:uid="{00000000-0005-0000-0000-0000F05A0000}"/>
    <cellStyle name="Normal 4 7 3 4 2 2" xfId="27372" xr:uid="{00000000-0005-0000-0000-0000F15A0000}"/>
    <cellStyle name="Normal 4 7 3 4 3" xfId="27371" xr:uid="{00000000-0005-0000-0000-0000F25A0000}"/>
    <cellStyle name="Normal 4 7 3 5" xfId="21601" xr:uid="{00000000-0005-0000-0000-0000F35A0000}"/>
    <cellStyle name="Normal 4 7 4" xfId="5508" xr:uid="{00000000-0005-0000-0000-0000F45A0000}"/>
    <cellStyle name="Normal 4 7 4 2" xfId="6726" xr:uid="{00000000-0005-0000-0000-0000F55A0000}"/>
    <cellStyle name="Normal 4 7 4 2 2" xfId="21606" xr:uid="{00000000-0005-0000-0000-0000F65A0000}"/>
    <cellStyle name="Normal 4 7 4 2 3" xfId="27374" xr:uid="{00000000-0005-0000-0000-0000F75A0000}"/>
    <cellStyle name="Normal 4 7 4 3" xfId="21605" xr:uid="{00000000-0005-0000-0000-0000F85A0000}"/>
    <cellStyle name="Normal 4 7 4 4" xfId="27373" xr:uid="{00000000-0005-0000-0000-0000F95A0000}"/>
    <cellStyle name="Normal 4 7 5" xfId="5818" xr:uid="{00000000-0005-0000-0000-0000FA5A0000}"/>
    <cellStyle name="Normal 4 7 5 2" xfId="6727" xr:uid="{00000000-0005-0000-0000-0000FB5A0000}"/>
    <cellStyle name="Normal 4 7 5 2 2" xfId="21609" xr:uid="{00000000-0005-0000-0000-0000FC5A0000}"/>
    <cellStyle name="Normal 4 7 5 2 3" xfId="21608" xr:uid="{00000000-0005-0000-0000-0000FD5A0000}"/>
    <cellStyle name="Normal 4 7 5 2 4" xfId="27376" xr:uid="{00000000-0005-0000-0000-0000FE5A0000}"/>
    <cellStyle name="Normal 4 7 5 3" xfId="21610" xr:uid="{00000000-0005-0000-0000-0000FF5A0000}"/>
    <cellStyle name="Normal 4 7 5 4" xfId="21607" xr:uid="{00000000-0005-0000-0000-0000005B0000}"/>
    <cellStyle name="Normal 4 7 5 5" xfId="27375" xr:uid="{00000000-0005-0000-0000-0000015B0000}"/>
    <cellStyle name="Normal 4 7 6" xfId="4935" xr:uid="{00000000-0005-0000-0000-0000025B0000}"/>
    <cellStyle name="Normal 4 7 6 2" xfId="6728" xr:uid="{00000000-0005-0000-0000-0000035B0000}"/>
    <cellStyle name="Normal 4 7 6 2 2" xfId="21613" xr:uid="{00000000-0005-0000-0000-0000045B0000}"/>
    <cellStyle name="Normal 4 7 6 2 3" xfId="21612" xr:uid="{00000000-0005-0000-0000-0000055B0000}"/>
    <cellStyle name="Normal 4 7 6 2 4" xfId="27378" xr:uid="{00000000-0005-0000-0000-0000065B0000}"/>
    <cellStyle name="Normal 4 7 6 3" xfId="21614" xr:uid="{00000000-0005-0000-0000-0000075B0000}"/>
    <cellStyle name="Normal 4 7 6 4" xfId="21611" xr:uid="{00000000-0005-0000-0000-0000085B0000}"/>
    <cellStyle name="Normal 4 7 6 5" xfId="27377" xr:uid="{00000000-0005-0000-0000-0000095B0000}"/>
    <cellStyle name="Normal 4 7 7" xfId="21615" xr:uid="{00000000-0005-0000-0000-00000A5B0000}"/>
    <cellStyle name="Normal 4 7 7 2" xfId="21616" xr:uid="{00000000-0005-0000-0000-00000B5B0000}"/>
    <cellStyle name="Normal 4 7 8" xfId="21617" xr:uid="{00000000-0005-0000-0000-00000C5B0000}"/>
    <cellStyle name="Normal 4 7 8 2" xfId="21618" xr:uid="{00000000-0005-0000-0000-00000D5B0000}"/>
    <cellStyle name="Normal 4 7 9" xfId="21619" xr:uid="{00000000-0005-0000-0000-00000E5B0000}"/>
    <cellStyle name="Normal 4 8" xfId="1088" xr:uid="{00000000-0005-0000-0000-00000F5B0000}"/>
    <cellStyle name="Normal 4 8 2" xfId="1543" xr:uid="{00000000-0005-0000-0000-0000105B0000}"/>
    <cellStyle name="Normal 4 8 2 2" xfId="21620" xr:uid="{00000000-0005-0000-0000-0000115B0000}"/>
    <cellStyle name="Normal 4 8 3" xfId="3958" xr:uid="{00000000-0005-0000-0000-0000125B0000}"/>
    <cellStyle name="Normal 4 8 3 2" xfId="21622" xr:uid="{00000000-0005-0000-0000-0000135B0000}"/>
    <cellStyle name="Normal 4 8 3 3" xfId="21621" xr:uid="{00000000-0005-0000-0000-0000145B0000}"/>
    <cellStyle name="Normal 4 8 4" xfId="21623" xr:uid="{00000000-0005-0000-0000-0000155B0000}"/>
    <cellStyle name="Normal 4 8 4 2" xfId="21624" xr:uid="{00000000-0005-0000-0000-0000165B0000}"/>
    <cellStyle name="Normal 4 8 5" xfId="21625" xr:uid="{00000000-0005-0000-0000-0000175B0000}"/>
    <cellStyle name="Normal 4 8 5 2" xfId="21626" xr:uid="{00000000-0005-0000-0000-0000185B0000}"/>
    <cellStyle name="Normal 4 9" xfId="1098" xr:uid="{00000000-0005-0000-0000-0000195B0000}"/>
    <cellStyle name="Normal 4 9 10" xfId="21627" xr:uid="{00000000-0005-0000-0000-00001A5B0000}"/>
    <cellStyle name="Normal 4 9 2" xfId="3536" xr:uid="{00000000-0005-0000-0000-00001B5B0000}"/>
    <cellStyle name="Normal 4 9 2 2" xfId="4198" xr:uid="{00000000-0005-0000-0000-00001C5B0000}"/>
    <cellStyle name="Normal 4 9 2 2 2" xfId="5514" xr:uid="{00000000-0005-0000-0000-00001D5B0000}"/>
    <cellStyle name="Normal 4 9 2 2 2 2" xfId="6731" xr:uid="{00000000-0005-0000-0000-00001E5B0000}"/>
    <cellStyle name="Normal 4 9 2 2 2 2 2" xfId="21631" xr:uid="{00000000-0005-0000-0000-00001F5B0000}"/>
    <cellStyle name="Normal 4 9 2 2 2 2 3" xfId="27382" xr:uid="{00000000-0005-0000-0000-0000205B0000}"/>
    <cellStyle name="Normal 4 9 2 2 2 3" xfId="21630" xr:uid="{00000000-0005-0000-0000-0000215B0000}"/>
    <cellStyle name="Normal 4 9 2 2 2 4" xfId="27381" xr:uid="{00000000-0005-0000-0000-0000225B0000}"/>
    <cellStyle name="Normal 4 9 2 2 3" xfId="5824" xr:uid="{00000000-0005-0000-0000-0000235B0000}"/>
    <cellStyle name="Normal 4 9 2 2 3 2" xfId="6732" xr:uid="{00000000-0005-0000-0000-0000245B0000}"/>
    <cellStyle name="Normal 4 9 2 2 3 2 2" xfId="27384" xr:uid="{00000000-0005-0000-0000-0000255B0000}"/>
    <cellStyle name="Normal 4 9 2 2 3 3" xfId="21632" xr:uid="{00000000-0005-0000-0000-0000265B0000}"/>
    <cellStyle name="Normal 4 9 2 2 3 4" xfId="27383" xr:uid="{00000000-0005-0000-0000-0000275B0000}"/>
    <cellStyle name="Normal 4 9 2 2 4" xfId="4941" xr:uid="{00000000-0005-0000-0000-0000285B0000}"/>
    <cellStyle name="Normal 4 9 2 2 4 2" xfId="6733" xr:uid="{00000000-0005-0000-0000-0000295B0000}"/>
    <cellStyle name="Normal 4 9 2 2 4 2 2" xfId="27386" xr:uid="{00000000-0005-0000-0000-00002A5B0000}"/>
    <cellStyle name="Normal 4 9 2 2 4 3" xfId="27385" xr:uid="{00000000-0005-0000-0000-00002B5B0000}"/>
    <cellStyle name="Normal 4 9 2 2 5" xfId="6730" xr:uid="{00000000-0005-0000-0000-00002C5B0000}"/>
    <cellStyle name="Normal 4 9 2 2 5 2" xfId="27387" xr:uid="{00000000-0005-0000-0000-00002D5B0000}"/>
    <cellStyle name="Normal 4 9 2 2 6" xfId="21629" xr:uid="{00000000-0005-0000-0000-00002E5B0000}"/>
    <cellStyle name="Normal 4 9 2 2 7" xfId="25050" xr:uid="{00000000-0005-0000-0000-00002F5B0000}"/>
    <cellStyle name="Normal 4 9 2 2 8" xfId="27380" xr:uid="{00000000-0005-0000-0000-0000305B0000}"/>
    <cellStyle name="Normal 4 9 2 3" xfId="5513" xr:uid="{00000000-0005-0000-0000-0000315B0000}"/>
    <cellStyle name="Normal 4 9 2 3 2" xfId="6734" xr:uid="{00000000-0005-0000-0000-0000325B0000}"/>
    <cellStyle name="Normal 4 9 2 3 2 2" xfId="21635" xr:uid="{00000000-0005-0000-0000-0000335B0000}"/>
    <cellStyle name="Normal 4 9 2 3 2 3" xfId="21634" xr:uid="{00000000-0005-0000-0000-0000345B0000}"/>
    <cellStyle name="Normal 4 9 2 3 2 4" xfId="27389" xr:uid="{00000000-0005-0000-0000-0000355B0000}"/>
    <cellStyle name="Normal 4 9 2 3 3" xfId="21636" xr:uid="{00000000-0005-0000-0000-0000365B0000}"/>
    <cellStyle name="Normal 4 9 2 3 3 2" xfId="21637" xr:uid="{00000000-0005-0000-0000-0000375B0000}"/>
    <cellStyle name="Normal 4 9 2 3 4" xfId="21638" xr:uid="{00000000-0005-0000-0000-0000385B0000}"/>
    <cellStyle name="Normal 4 9 2 3 5" xfId="21633" xr:uid="{00000000-0005-0000-0000-0000395B0000}"/>
    <cellStyle name="Normal 4 9 2 3 6" xfId="27388" xr:uid="{00000000-0005-0000-0000-00003A5B0000}"/>
    <cellStyle name="Normal 4 9 2 4" xfId="5823" xr:uid="{00000000-0005-0000-0000-00003B5B0000}"/>
    <cellStyle name="Normal 4 9 2 4 2" xfId="6735" xr:uid="{00000000-0005-0000-0000-00003C5B0000}"/>
    <cellStyle name="Normal 4 9 2 4 2 2" xfId="21640" xr:uid="{00000000-0005-0000-0000-00003D5B0000}"/>
    <cellStyle name="Normal 4 9 2 4 2 3" xfId="27391" xr:uid="{00000000-0005-0000-0000-00003E5B0000}"/>
    <cellStyle name="Normal 4 9 2 4 3" xfId="21639" xr:uid="{00000000-0005-0000-0000-00003F5B0000}"/>
    <cellStyle name="Normal 4 9 2 4 4" xfId="27390" xr:uid="{00000000-0005-0000-0000-0000405B0000}"/>
    <cellStyle name="Normal 4 9 2 5" xfId="4940" xr:uid="{00000000-0005-0000-0000-0000415B0000}"/>
    <cellStyle name="Normal 4 9 2 5 2" xfId="6736" xr:uid="{00000000-0005-0000-0000-0000425B0000}"/>
    <cellStyle name="Normal 4 9 2 5 2 2" xfId="21642" xr:uid="{00000000-0005-0000-0000-0000435B0000}"/>
    <cellStyle name="Normal 4 9 2 5 2 3" xfId="27393" xr:uid="{00000000-0005-0000-0000-0000445B0000}"/>
    <cellStyle name="Normal 4 9 2 5 3" xfId="21641" xr:uid="{00000000-0005-0000-0000-0000455B0000}"/>
    <cellStyle name="Normal 4 9 2 5 4" xfId="27392" xr:uid="{00000000-0005-0000-0000-0000465B0000}"/>
    <cellStyle name="Normal 4 9 2 6" xfId="6729" xr:uid="{00000000-0005-0000-0000-0000475B0000}"/>
    <cellStyle name="Normal 4 9 2 6 2" xfId="21643" xr:uid="{00000000-0005-0000-0000-0000485B0000}"/>
    <cellStyle name="Normal 4 9 2 6 3" xfId="27394" xr:uid="{00000000-0005-0000-0000-0000495B0000}"/>
    <cellStyle name="Normal 4 9 2 7" xfId="21628" xr:uid="{00000000-0005-0000-0000-00004A5B0000}"/>
    <cellStyle name="Normal 4 9 2 8" xfId="24930" xr:uid="{00000000-0005-0000-0000-00004B5B0000}"/>
    <cellStyle name="Normal 4 9 2 9" xfId="27379" xr:uid="{00000000-0005-0000-0000-00004C5B0000}"/>
    <cellStyle name="Normal 4 9 3" xfId="3968" xr:uid="{00000000-0005-0000-0000-00004D5B0000}"/>
    <cellStyle name="Normal 4 9 3 2" xfId="5515" xr:uid="{00000000-0005-0000-0000-00004E5B0000}"/>
    <cellStyle name="Normal 4 9 3 2 2" xfId="6737" xr:uid="{00000000-0005-0000-0000-00004F5B0000}"/>
    <cellStyle name="Normal 4 9 3 2 2 2" xfId="21646" xr:uid="{00000000-0005-0000-0000-0000505B0000}"/>
    <cellStyle name="Normal 4 9 3 2 2 3" xfId="27396" xr:uid="{00000000-0005-0000-0000-0000515B0000}"/>
    <cellStyle name="Normal 4 9 3 2 3" xfId="21645" xr:uid="{00000000-0005-0000-0000-0000525B0000}"/>
    <cellStyle name="Normal 4 9 3 2 4" xfId="27395" xr:uid="{00000000-0005-0000-0000-0000535B0000}"/>
    <cellStyle name="Normal 4 9 3 3" xfId="5825" xr:uid="{00000000-0005-0000-0000-0000545B0000}"/>
    <cellStyle name="Normal 4 9 3 3 2" xfId="6738" xr:uid="{00000000-0005-0000-0000-0000555B0000}"/>
    <cellStyle name="Normal 4 9 3 3 2 2" xfId="27398" xr:uid="{00000000-0005-0000-0000-0000565B0000}"/>
    <cellStyle name="Normal 4 9 3 3 3" xfId="21647" xr:uid="{00000000-0005-0000-0000-0000575B0000}"/>
    <cellStyle name="Normal 4 9 3 3 4" xfId="27397" xr:uid="{00000000-0005-0000-0000-0000585B0000}"/>
    <cellStyle name="Normal 4 9 3 4" xfId="4942" xr:uid="{00000000-0005-0000-0000-0000595B0000}"/>
    <cellStyle name="Normal 4 9 3 4 2" xfId="6739" xr:uid="{00000000-0005-0000-0000-00005A5B0000}"/>
    <cellStyle name="Normal 4 9 3 4 2 2" xfId="27400" xr:uid="{00000000-0005-0000-0000-00005B5B0000}"/>
    <cellStyle name="Normal 4 9 3 4 3" xfId="27399" xr:uid="{00000000-0005-0000-0000-00005C5B0000}"/>
    <cellStyle name="Normal 4 9 3 5" xfId="21644" xr:uid="{00000000-0005-0000-0000-00005D5B0000}"/>
    <cellStyle name="Normal 4 9 4" xfId="5512" xr:uid="{00000000-0005-0000-0000-00005E5B0000}"/>
    <cellStyle name="Normal 4 9 4 2" xfId="6740" xr:uid="{00000000-0005-0000-0000-00005F5B0000}"/>
    <cellStyle name="Normal 4 9 4 2 2" xfId="21649" xr:uid="{00000000-0005-0000-0000-0000605B0000}"/>
    <cellStyle name="Normal 4 9 4 2 3" xfId="27402" xr:uid="{00000000-0005-0000-0000-0000615B0000}"/>
    <cellStyle name="Normal 4 9 4 3" xfId="21648" xr:uid="{00000000-0005-0000-0000-0000625B0000}"/>
    <cellStyle name="Normal 4 9 4 4" xfId="27401" xr:uid="{00000000-0005-0000-0000-0000635B0000}"/>
    <cellStyle name="Normal 4 9 5" xfId="5822" xr:uid="{00000000-0005-0000-0000-0000645B0000}"/>
    <cellStyle name="Normal 4 9 5 2" xfId="6741" xr:uid="{00000000-0005-0000-0000-0000655B0000}"/>
    <cellStyle name="Normal 4 9 5 2 2" xfId="21652" xr:uid="{00000000-0005-0000-0000-0000665B0000}"/>
    <cellStyle name="Normal 4 9 5 2 3" xfId="21651" xr:uid="{00000000-0005-0000-0000-0000675B0000}"/>
    <cellStyle name="Normal 4 9 5 2 4" xfId="27404" xr:uid="{00000000-0005-0000-0000-0000685B0000}"/>
    <cellStyle name="Normal 4 9 5 3" xfId="21653" xr:uid="{00000000-0005-0000-0000-0000695B0000}"/>
    <cellStyle name="Normal 4 9 5 4" xfId="21650" xr:uid="{00000000-0005-0000-0000-00006A5B0000}"/>
    <cellStyle name="Normal 4 9 5 5" xfId="27403" xr:uid="{00000000-0005-0000-0000-00006B5B0000}"/>
    <cellStyle name="Normal 4 9 6" xfId="4939" xr:uid="{00000000-0005-0000-0000-00006C5B0000}"/>
    <cellStyle name="Normal 4 9 6 2" xfId="6742" xr:uid="{00000000-0005-0000-0000-00006D5B0000}"/>
    <cellStyle name="Normal 4 9 6 2 2" xfId="21656" xr:uid="{00000000-0005-0000-0000-00006E5B0000}"/>
    <cellStyle name="Normal 4 9 6 2 3" xfId="21655" xr:uid="{00000000-0005-0000-0000-00006F5B0000}"/>
    <cellStyle name="Normal 4 9 6 2 4" xfId="27406" xr:uid="{00000000-0005-0000-0000-0000705B0000}"/>
    <cellStyle name="Normal 4 9 6 3" xfId="21657" xr:uid="{00000000-0005-0000-0000-0000715B0000}"/>
    <cellStyle name="Normal 4 9 6 4" xfId="21654" xr:uid="{00000000-0005-0000-0000-0000725B0000}"/>
    <cellStyle name="Normal 4 9 6 5" xfId="27405" xr:uid="{00000000-0005-0000-0000-0000735B0000}"/>
    <cellStyle name="Normal 4 9 7" xfId="21658" xr:uid="{00000000-0005-0000-0000-0000745B0000}"/>
    <cellStyle name="Normal 4 9 7 2" xfId="21659" xr:uid="{00000000-0005-0000-0000-0000755B0000}"/>
    <cellStyle name="Normal 4 9 8" xfId="21660" xr:uid="{00000000-0005-0000-0000-0000765B0000}"/>
    <cellStyle name="Normal 4 9 8 2" xfId="21661" xr:uid="{00000000-0005-0000-0000-0000775B0000}"/>
    <cellStyle name="Normal 4 9 9" xfId="21662" xr:uid="{00000000-0005-0000-0000-0000785B0000}"/>
    <cellStyle name="Normal 40" xfId="1031" xr:uid="{00000000-0005-0000-0000-0000795B0000}"/>
    <cellStyle name="Normal 40 2" xfId="3894" xr:uid="{00000000-0005-0000-0000-00007A5B0000}"/>
    <cellStyle name="Normal 41" xfId="28699" xr:uid="{00000000-0005-0000-0000-00007B5B0000}"/>
    <cellStyle name="Normal 42" xfId="1032" xr:uid="{00000000-0005-0000-0000-00007C5B0000}"/>
    <cellStyle name="Normal 42 2" xfId="3896" xr:uid="{00000000-0005-0000-0000-00007D5B0000}"/>
    <cellStyle name="Normal 43" xfId="28701" xr:uid="{00000000-0005-0000-0000-00007E5B0000}"/>
    <cellStyle name="Normal 44" xfId="1033" xr:uid="{00000000-0005-0000-0000-00007F5B0000}"/>
    <cellStyle name="Normal 44 2" xfId="3898" xr:uid="{00000000-0005-0000-0000-0000805B0000}"/>
    <cellStyle name="Normal 45" xfId="28705" xr:uid="{00000000-0005-0000-0000-0000815B0000}"/>
    <cellStyle name="Normal 5" xfId="12" xr:uid="{00000000-0005-0000-0000-0000825B0000}"/>
    <cellStyle name="Normal 5 10" xfId="1102" xr:uid="{00000000-0005-0000-0000-0000835B0000}"/>
    <cellStyle name="Normal 5 10 2" xfId="3972" xr:uid="{00000000-0005-0000-0000-0000845B0000}"/>
    <cellStyle name="Normal 5 10 2 2" xfId="5517" xr:uid="{00000000-0005-0000-0000-0000855B0000}"/>
    <cellStyle name="Normal 5 10 2 2 2" xfId="6743" xr:uid="{00000000-0005-0000-0000-0000865B0000}"/>
    <cellStyle name="Normal 5 10 2 2 2 2" xfId="21665" xr:uid="{00000000-0005-0000-0000-0000875B0000}"/>
    <cellStyle name="Normal 5 10 2 2 2 3" xfId="27408" xr:uid="{00000000-0005-0000-0000-0000885B0000}"/>
    <cellStyle name="Normal 5 10 2 2 3" xfId="21664" xr:uid="{00000000-0005-0000-0000-0000895B0000}"/>
    <cellStyle name="Normal 5 10 2 2 4" xfId="27407" xr:uid="{00000000-0005-0000-0000-00008A5B0000}"/>
    <cellStyle name="Normal 5 10 2 3" xfId="5827" xr:uid="{00000000-0005-0000-0000-00008B5B0000}"/>
    <cellStyle name="Normal 5 10 2 3 2" xfId="6744" xr:uid="{00000000-0005-0000-0000-00008C5B0000}"/>
    <cellStyle name="Normal 5 10 2 3 2 2" xfId="21667" xr:uid="{00000000-0005-0000-0000-00008D5B0000}"/>
    <cellStyle name="Normal 5 10 2 3 2 3" xfId="27410" xr:uid="{00000000-0005-0000-0000-00008E5B0000}"/>
    <cellStyle name="Normal 5 10 2 3 3" xfId="21666" xr:uid="{00000000-0005-0000-0000-00008F5B0000}"/>
    <cellStyle name="Normal 5 10 2 3 4" xfId="27409" xr:uid="{00000000-0005-0000-0000-0000905B0000}"/>
    <cellStyle name="Normal 5 10 2 4" xfId="4944" xr:uid="{00000000-0005-0000-0000-0000915B0000}"/>
    <cellStyle name="Normal 5 10 2 4 2" xfId="6745" xr:uid="{00000000-0005-0000-0000-0000925B0000}"/>
    <cellStyle name="Normal 5 10 2 4 2 2" xfId="27412" xr:uid="{00000000-0005-0000-0000-0000935B0000}"/>
    <cellStyle name="Normal 5 10 2 4 3" xfId="21668" xr:uid="{00000000-0005-0000-0000-0000945B0000}"/>
    <cellStyle name="Normal 5 10 2 4 4" xfId="27411" xr:uid="{00000000-0005-0000-0000-0000955B0000}"/>
    <cellStyle name="Normal 5 10 2 5" xfId="21663" xr:uid="{00000000-0005-0000-0000-0000965B0000}"/>
    <cellStyle name="Normal 5 10 3" xfId="5516" xr:uid="{00000000-0005-0000-0000-0000975B0000}"/>
    <cellStyle name="Normal 5 10 3 2" xfId="6746" xr:uid="{00000000-0005-0000-0000-0000985B0000}"/>
    <cellStyle name="Normal 5 10 3 2 2" xfId="21670" xr:uid="{00000000-0005-0000-0000-0000995B0000}"/>
    <cellStyle name="Normal 5 10 3 2 3" xfId="27414" xr:uid="{00000000-0005-0000-0000-00009A5B0000}"/>
    <cellStyle name="Normal 5 10 3 3" xfId="21669" xr:uid="{00000000-0005-0000-0000-00009B5B0000}"/>
    <cellStyle name="Normal 5 10 3 4" xfId="27413" xr:uid="{00000000-0005-0000-0000-00009C5B0000}"/>
    <cellStyle name="Normal 5 10 4" xfId="5826" xr:uid="{00000000-0005-0000-0000-00009D5B0000}"/>
    <cellStyle name="Normal 5 10 4 2" xfId="6747" xr:uid="{00000000-0005-0000-0000-00009E5B0000}"/>
    <cellStyle name="Normal 5 10 4 2 2" xfId="21672" xr:uid="{00000000-0005-0000-0000-00009F5B0000}"/>
    <cellStyle name="Normal 5 10 4 2 3" xfId="27416" xr:uid="{00000000-0005-0000-0000-0000A05B0000}"/>
    <cellStyle name="Normal 5 10 4 3" xfId="21671" xr:uid="{00000000-0005-0000-0000-0000A15B0000}"/>
    <cellStyle name="Normal 5 10 4 4" xfId="27415" xr:uid="{00000000-0005-0000-0000-0000A25B0000}"/>
    <cellStyle name="Normal 5 10 5" xfId="4943" xr:uid="{00000000-0005-0000-0000-0000A35B0000}"/>
    <cellStyle name="Normal 5 10 5 2" xfId="6748" xr:uid="{00000000-0005-0000-0000-0000A45B0000}"/>
    <cellStyle name="Normal 5 10 5 2 2" xfId="27418" xr:uid="{00000000-0005-0000-0000-0000A55B0000}"/>
    <cellStyle name="Normal 5 10 5 3" xfId="21673" xr:uid="{00000000-0005-0000-0000-0000A65B0000}"/>
    <cellStyle name="Normal 5 10 5 4" xfId="27417" xr:uid="{00000000-0005-0000-0000-0000A75B0000}"/>
    <cellStyle name="Normal 5 10 6" xfId="7115" xr:uid="{00000000-0005-0000-0000-0000A85B0000}"/>
    <cellStyle name="Normal 5 11" xfId="1112" xr:uid="{00000000-0005-0000-0000-0000A95B0000}"/>
    <cellStyle name="Normal 5 11 2" xfId="3982" xr:uid="{00000000-0005-0000-0000-0000AA5B0000}"/>
    <cellStyle name="Normal 5 11 2 2" xfId="5518" xr:uid="{00000000-0005-0000-0000-0000AB5B0000}"/>
    <cellStyle name="Normal 5 11 2 2 2" xfId="6749" xr:uid="{00000000-0005-0000-0000-0000AC5B0000}"/>
    <cellStyle name="Normal 5 11 2 2 2 2" xfId="27420" xr:uid="{00000000-0005-0000-0000-0000AD5B0000}"/>
    <cellStyle name="Normal 5 11 2 2 3" xfId="21676" xr:uid="{00000000-0005-0000-0000-0000AE5B0000}"/>
    <cellStyle name="Normal 5 11 2 2 4" xfId="27419" xr:uid="{00000000-0005-0000-0000-0000AF5B0000}"/>
    <cellStyle name="Normal 5 11 2 3" xfId="21675" xr:uid="{00000000-0005-0000-0000-0000B05B0000}"/>
    <cellStyle name="Normal 5 11 3" xfId="5828" xr:uid="{00000000-0005-0000-0000-0000B15B0000}"/>
    <cellStyle name="Normal 5 11 3 2" xfId="6750" xr:uid="{00000000-0005-0000-0000-0000B25B0000}"/>
    <cellStyle name="Normal 5 11 3 2 2" xfId="21678" xr:uid="{00000000-0005-0000-0000-0000B35B0000}"/>
    <cellStyle name="Normal 5 11 3 2 3" xfId="27422" xr:uid="{00000000-0005-0000-0000-0000B45B0000}"/>
    <cellStyle name="Normal 5 11 3 3" xfId="21677" xr:uid="{00000000-0005-0000-0000-0000B55B0000}"/>
    <cellStyle name="Normal 5 11 3 4" xfId="27421" xr:uid="{00000000-0005-0000-0000-0000B65B0000}"/>
    <cellStyle name="Normal 5 11 4" xfId="4945" xr:uid="{00000000-0005-0000-0000-0000B75B0000}"/>
    <cellStyle name="Normal 5 11 4 2" xfId="6751" xr:uid="{00000000-0005-0000-0000-0000B85B0000}"/>
    <cellStyle name="Normal 5 11 4 2 2" xfId="27424" xr:uid="{00000000-0005-0000-0000-0000B95B0000}"/>
    <cellStyle name="Normal 5 11 4 3" xfId="21679" xr:uid="{00000000-0005-0000-0000-0000BA5B0000}"/>
    <cellStyle name="Normal 5 11 4 4" xfId="27423" xr:uid="{00000000-0005-0000-0000-0000BB5B0000}"/>
    <cellStyle name="Normal 5 11 5" xfId="21674" xr:uid="{00000000-0005-0000-0000-0000BC5B0000}"/>
    <cellStyle name="Normal 5 12" xfId="1122" xr:uid="{00000000-0005-0000-0000-0000BD5B0000}"/>
    <cellStyle name="Normal 5 12 2" xfId="3992" xr:uid="{00000000-0005-0000-0000-0000BE5B0000}"/>
    <cellStyle name="Normal 5 12 2 2" xfId="21681" xr:uid="{00000000-0005-0000-0000-0000BF5B0000}"/>
    <cellStyle name="Normal 5 12 3" xfId="21680" xr:uid="{00000000-0005-0000-0000-0000C05B0000}"/>
    <cellStyle name="Normal 5 13" xfId="1132" xr:uid="{00000000-0005-0000-0000-0000C15B0000}"/>
    <cellStyle name="Normal 5 13 2" xfId="4002" xr:uid="{00000000-0005-0000-0000-0000C25B0000}"/>
    <cellStyle name="Normal 5 13 2 2" xfId="21683" xr:uid="{00000000-0005-0000-0000-0000C35B0000}"/>
    <cellStyle name="Normal 5 13 3" xfId="21682" xr:uid="{00000000-0005-0000-0000-0000C45B0000}"/>
    <cellStyle name="Normal 5 14" xfId="1160" xr:uid="{00000000-0005-0000-0000-0000C55B0000}"/>
    <cellStyle name="Normal 5 14 2" xfId="4030" xr:uid="{00000000-0005-0000-0000-0000C65B0000}"/>
    <cellStyle name="Normal 5 15" xfId="1148" xr:uid="{00000000-0005-0000-0000-0000C75B0000}"/>
    <cellStyle name="Normal 5 15 2" xfId="4018" xr:uid="{00000000-0005-0000-0000-0000C85B0000}"/>
    <cellStyle name="Normal 5 16" xfId="1162" xr:uid="{00000000-0005-0000-0000-0000C95B0000}"/>
    <cellStyle name="Normal 5 16 2" xfId="4032" xr:uid="{00000000-0005-0000-0000-0000CA5B0000}"/>
    <cellStyle name="Normal 5 17" xfId="1172" xr:uid="{00000000-0005-0000-0000-0000CB5B0000}"/>
    <cellStyle name="Normal 5 17 2" xfId="4042" xr:uid="{00000000-0005-0000-0000-0000CC5B0000}"/>
    <cellStyle name="Normal 5 18" xfId="1182" xr:uid="{00000000-0005-0000-0000-0000CD5B0000}"/>
    <cellStyle name="Normal 5 18 2" xfId="4052" xr:uid="{00000000-0005-0000-0000-0000CE5B0000}"/>
    <cellStyle name="Normal 5 19" xfId="1192" xr:uid="{00000000-0005-0000-0000-0000CF5B0000}"/>
    <cellStyle name="Normal 5 19 2" xfId="4062" xr:uid="{00000000-0005-0000-0000-0000D05B0000}"/>
    <cellStyle name="Normal 5 2" xfId="61" xr:uid="{00000000-0005-0000-0000-0000D15B0000}"/>
    <cellStyle name="Normal 5 2 2" xfId="1490" xr:uid="{00000000-0005-0000-0000-0000D25B0000}"/>
    <cellStyle name="Normal 5 2 2 10" xfId="27425" xr:uid="{00000000-0005-0000-0000-0000D35B0000}"/>
    <cellStyle name="Normal 5 2 2 2" xfId="4186" xr:uid="{00000000-0005-0000-0000-0000D45B0000}"/>
    <cellStyle name="Normal 5 2 2 2 2" xfId="4948" xr:uid="{00000000-0005-0000-0000-0000D55B0000}"/>
    <cellStyle name="Normal 5 2 2 2 2 2" xfId="5521" xr:uid="{00000000-0005-0000-0000-0000D65B0000}"/>
    <cellStyle name="Normal 5 2 2 2 2 2 2" xfId="6755" xr:uid="{00000000-0005-0000-0000-0000D75B0000}"/>
    <cellStyle name="Normal 5 2 2 2 2 2 2 2" xfId="21688" xr:uid="{00000000-0005-0000-0000-0000D85B0000}"/>
    <cellStyle name="Normal 5 2 2 2 2 2 2 3" xfId="27429" xr:uid="{00000000-0005-0000-0000-0000D95B0000}"/>
    <cellStyle name="Normal 5 2 2 2 2 2 3" xfId="21687" xr:uid="{00000000-0005-0000-0000-0000DA5B0000}"/>
    <cellStyle name="Normal 5 2 2 2 2 2 4" xfId="27428" xr:uid="{00000000-0005-0000-0000-0000DB5B0000}"/>
    <cellStyle name="Normal 5 2 2 2 2 3" xfId="5831" xr:uid="{00000000-0005-0000-0000-0000DC5B0000}"/>
    <cellStyle name="Normal 5 2 2 2 2 3 2" xfId="6756" xr:uid="{00000000-0005-0000-0000-0000DD5B0000}"/>
    <cellStyle name="Normal 5 2 2 2 2 3 2 2" xfId="21690" xr:uid="{00000000-0005-0000-0000-0000DE5B0000}"/>
    <cellStyle name="Normal 5 2 2 2 2 3 2 3" xfId="27431" xr:uid="{00000000-0005-0000-0000-0000DF5B0000}"/>
    <cellStyle name="Normal 5 2 2 2 2 3 3" xfId="21689" xr:uid="{00000000-0005-0000-0000-0000E05B0000}"/>
    <cellStyle name="Normal 5 2 2 2 2 3 4" xfId="27430" xr:uid="{00000000-0005-0000-0000-0000E15B0000}"/>
    <cellStyle name="Normal 5 2 2 2 2 4" xfId="6754" xr:uid="{00000000-0005-0000-0000-0000E25B0000}"/>
    <cellStyle name="Normal 5 2 2 2 2 4 2" xfId="21691" xr:uid="{00000000-0005-0000-0000-0000E35B0000}"/>
    <cellStyle name="Normal 5 2 2 2 2 4 3" xfId="27432" xr:uid="{00000000-0005-0000-0000-0000E45B0000}"/>
    <cellStyle name="Normal 5 2 2 2 2 5" xfId="21686" xr:uid="{00000000-0005-0000-0000-0000E55B0000}"/>
    <cellStyle name="Normal 5 2 2 2 2 6" xfId="27427" xr:uid="{00000000-0005-0000-0000-0000E65B0000}"/>
    <cellStyle name="Normal 5 2 2 2 3" xfId="5520" xr:uid="{00000000-0005-0000-0000-0000E75B0000}"/>
    <cellStyle name="Normal 5 2 2 2 3 2" xfId="6757" xr:uid="{00000000-0005-0000-0000-0000E85B0000}"/>
    <cellStyle name="Normal 5 2 2 2 3 2 2" xfId="21693" xr:uid="{00000000-0005-0000-0000-0000E95B0000}"/>
    <cellStyle name="Normal 5 2 2 2 3 2 3" xfId="27434" xr:uid="{00000000-0005-0000-0000-0000EA5B0000}"/>
    <cellStyle name="Normal 5 2 2 2 3 3" xfId="21692" xr:uid="{00000000-0005-0000-0000-0000EB5B0000}"/>
    <cellStyle name="Normal 5 2 2 2 3 4" xfId="27433" xr:uid="{00000000-0005-0000-0000-0000EC5B0000}"/>
    <cellStyle name="Normal 5 2 2 2 4" xfId="5830" xr:uid="{00000000-0005-0000-0000-0000ED5B0000}"/>
    <cellStyle name="Normal 5 2 2 2 4 2" xfId="6758" xr:uid="{00000000-0005-0000-0000-0000EE5B0000}"/>
    <cellStyle name="Normal 5 2 2 2 4 2 2" xfId="21695" xr:uid="{00000000-0005-0000-0000-0000EF5B0000}"/>
    <cellStyle name="Normal 5 2 2 2 4 2 3" xfId="27436" xr:uid="{00000000-0005-0000-0000-0000F05B0000}"/>
    <cellStyle name="Normal 5 2 2 2 4 3" xfId="21694" xr:uid="{00000000-0005-0000-0000-0000F15B0000}"/>
    <cellStyle name="Normal 5 2 2 2 4 4" xfId="27435" xr:uid="{00000000-0005-0000-0000-0000F25B0000}"/>
    <cellStyle name="Normal 5 2 2 2 5" xfId="4947" xr:uid="{00000000-0005-0000-0000-0000F35B0000}"/>
    <cellStyle name="Normal 5 2 2 2 5 2" xfId="6759" xr:uid="{00000000-0005-0000-0000-0000F45B0000}"/>
    <cellStyle name="Normal 5 2 2 2 5 2 2" xfId="27438" xr:uid="{00000000-0005-0000-0000-0000F55B0000}"/>
    <cellStyle name="Normal 5 2 2 2 5 3" xfId="21696" xr:uid="{00000000-0005-0000-0000-0000F65B0000}"/>
    <cellStyle name="Normal 5 2 2 2 5 4" xfId="27437" xr:uid="{00000000-0005-0000-0000-0000F75B0000}"/>
    <cellStyle name="Normal 5 2 2 2 6" xfId="6753" xr:uid="{00000000-0005-0000-0000-0000F85B0000}"/>
    <cellStyle name="Normal 5 2 2 2 6 2" xfId="27439" xr:uid="{00000000-0005-0000-0000-0000F95B0000}"/>
    <cellStyle name="Normal 5 2 2 2 7" xfId="21685" xr:uid="{00000000-0005-0000-0000-0000FA5B0000}"/>
    <cellStyle name="Normal 5 2 2 2 8" xfId="25038" xr:uid="{00000000-0005-0000-0000-0000FB5B0000}"/>
    <cellStyle name="Normal 5 2 2 2 9" xfId="27426" xr:uid="{00000000-0005-0000-0000-0000FC5B0000}"/>
    <cellStyle name="Normal 5 2 2 3" xfId="4949" xr:uid="{00000000-0005-0000-0000-0000FD5B0000}"/>
    <cellStyle name="Normal 5 2 2 3 2" xfId="5522" xr:uid="{00000000-0005-0000-0000-0000FE5B0000}"/>
    <cellStyle name="Normal 5 2 2 3 2 2" xfId="6761" xr:uid="{00000000-0005-0000-0000-0000FF5B0000}"/>
    <cellStyle name="Normal 5 2 2 3 2 2 2" xfId="21699" xr:uid="{00000000-0005-0000-0000-0000005C0000}"/>
    <cellStyle name="Normal 5 2 2 3 2 2 3" xfId="27442" xr:uid="{00000000-0005-0000-0000-0000015C0000}"/>
    <cellStyle name="Normal 5 2 2 3 2 3" xfId="21698" xr:uid="{00000000-0005-0000-0000-0000025C0000}"/>
    <cellStyle name="Normal 5 2 2 3 2 4" xfId="27441" xr:uid="{00000000-0005-0000-0000-0000035C0000}"/>
    <cellStyle name="Normal 5 2 2 3 3" xfId="5832" xr:uid="{00000000-0005-0000-0000-0000045C0000}"/>
    <cellStyle name="Normal 5 2 2 3 3 2" xfId="6762" xr:uid="{00000000-0005-0000-0000-0000055C0000}"/>
    <cellStyle name="Normal 5 2 2 3 3 2 2" xfId="21701" xr:uid="{00000000-0005-0000-0000-0000065C0000}"/>
    <cellStyle name="Normal 5 2 2 3 3 2 3" xfId="27444" xr:uid="{00000000-0005-0000-0000-0000075C0000}"/>
    <cellStyle name="Normal 5 2 2 3 3 3" xfId="21700" xr:uid="{00000000-0005-0000-0000-0000085C0000}"/>
    <cellStyle name="Normal 5 2 2 3 3 4" xfId="27443" xr:uid="{00000000-0005-0000-0000-0000095C0000}"/>
    <cellStyle name="Normal 5 2 2 3 4" xfId="6760" xr:uid="{00000000-0005-0000-0000-00000A5C0000}"/>
    <cellStyle name="Normal 5 2 2 3 4 2" xfId="21702" xr:uid="{00000000-0005-0000-0000-00000B5C0000}"/>
    <cellStyle name="Normal 5 2 2 3 4 3" xfId="27445" xr:uid="{00000000-0005-0000-0000-00000C5C0000}"/>
    <cellStyle name="Normal 5 2 2 3 5" xfId="21697" xr:uid="{00000000-0005-0000-0000-00000D5C0000}"/>
    <cellStyle name="Normal 5 2 2 3 6" xfId="27440" xr:uid="{00000000-0005-0000-0000-00000E5C0000}"/>
    <cellStyle name="Normal 5 2 2 4" xfId="5519" xr:uid="{00000000-0005-0000-0000-00000F5C0000}"/>
    <cellStyle name="Normal 5 2 2 4 2" xfId="6763" xr:uid="{00000000-0005-0000-0000-0000105C0000}"/>
    <cellStyle name="Normal 5 2 2 4 2 2" xfId="21704" xr:uid="{00000000-0005-0000-0000-0000115C0000}"/>
    <cellStyle name="Normal 5 2 2 4 2 3" xfId="27447" xr:uid="{00000000-0005-0000-0000-0000125C0000}"/>
    <cellStyle name="Normal 5 2 2 4 3" xfId="21703" xr:uid="{00000000-0005-0000-0000-0000135C0000}"/>
    <cellStyle name="Normal 5 2 2 4 4" xfId="27446" xr:uid="{00000000-0005-0000-0000-0000145C0000}"/>
    <cellStyle name="Normal 5 2 2 5" xfId="5829" xr:uid="{00000000-0005-0000-0000-0000155C0000}"/>
    <cellStyle name="Normal 5 2 2 5 2" xfId="6764" xr:uid="{00000000-0005-0000-0000-0000165C0000}"/>
    <cellStyle name="Normal 5 2 2 5 2 2" xfId="21706" xr:uid="{00000000-0005-0000-0000-0000175C0000}"/>
    <cellStyle name="Normal 5 2 2 5 2 3" xfId="27449" xr:uid="{00000000-0005-0000-0000-0000185C0000}"/>
    <cellStyle name="Normal 5 2 2 5 3" xfId="21705" xr:uid="{00000000-0005-0000-0000-0000195C0000}"/>
    <cellStyle name="Normal 5 2 2 5 4" xfId="27448" xr:uid="{00000000-0005-0000-0000-00001A5C0000}"/>
    <cellStyle name="Normal 5 2 2 6" xfId="4946" xr:uid="{00000000-0005-0000-0000-00001B5C0000}"/>
    <cellStyle name="Normal 5 2 2 6 2" xfId="6765" xr:uid="{00000000-0005-0000-0000-00001C5C0000}"/>
    <cellStyle name="Normal 5 2 2 6 2 2" xfId="27451" xr:uid="{00000000-0005-0000-0000-00001D5C0000}"/>
    <cellStyle name="Normal 5 2 2 6 3" xfId="21707" xr:uid="{00000000-0005-0000-0000-00001E5C0000}"/>
    <cellStyle name="Normal 5 2 2 6 4" xfId="27450" xr:uid="{00000000-0005-0000-0000-00001F5C0000}"/>
    <cellStyle name="Normal 5 2 2 7" xfId="6752" xr:uid="{00000000-0005-0000-0000-0000205C0000}"/>
    <cellStyle name="Normal 5 2 2 7 2" xfId="27452" xr:uid="{00000000-0005-0000-0000-0000215C0000}"/>
    <cellStyle name="Normal 5 2 2 8" xfId="21684" xr:uid="{00000000-0005-0000-0000-0000225C0000}"/>
    <cellStyle name="Normal 5 2 2 9" xfId="24918" xr:uid="{00000000-0005-0000-0000-0000235C0000}"/>
    <cellStyle name="Normal 5 2 3" xfId="1616" xr:uid="{00000000-0005-0000-0000-0000245C0000}"/>
    <cellStyle name="Normal 5 2 3 10" xfId="27453" xr:uid="{00000000-0005-0000-0000-0000255C0000}"/>
    <cellStyle name="Normal 5 2 3 2" xfId="4195" xr:uid="{00000000-0005-0000-0000-0000265C0000}"/>
    <cellStyle name="Normal 5 2 3 2 2" xfId="4952" xr:uid="{00000000-0005-0000-0000-0000275C0000}"/>
    <cellStyle name="Normal 5 2 3 2 2 2" xfId="5525" xr:uid="{00000000-0005-0000-0000-0000285C0000}"/>
    <cellStyle name="Normal 5 2 3 2 2 2 2" xfId="6769" xr:uid="{00000000-0005-0000-0000-0000295C0000}"/>
    <cellStyle name="Normal 5 2 3 2 2 2 2 2" xfId="21712" xr:uid="{00000000-0005-0000-0000-00002A5C0000}"/>
    <cellStyle name="Normal 5 2 3 2 2 2 2 3" xfId="27457" xr:uid="{00000000-0005-0000-0000-00002B5C0000}"/>
    <cellStyle name="Normal 5 2 3 2 2 2 3" xfId="21711" xr:uid="{00000000-0005-0000-0000-00002C5C0000}"/>
    <cellStyle name="Normal 5 2 3 2 2 2 4" xfId="27456" xr:uid="{00000000-0005-0000-0000-00002D5C0000}"/>
    <cellStyle name="Normal 5 2 3 2 2 3" xfId="5835" xr:uid="{00000000-0005-0000-0000-00002E5C0000}"/>
    <cellStyle name="Normal 5 2 3 2 2 3 2" xfId="6770" xr:uid="{00000000-0005-0000-0000-00002F5C0000}"/>
    <cellStyle name="Normal 5 2 3 2 2 3 2 2" xfId="21714" xr:uid="{00000000-0005-0000-0000-0000305C0000}"/>
    <cellStyle name="Normal 5 2 3 2 2 3 2 3" xfId="27459" xr:uid="{00000000-0005-0000-0000-0000315C0000}"/>
    <cellStyle name="Normal 5 2 3 2 2 3 3" xfId="21713" xr:uid="{00000000-0005-0000-0000-0000325C0000}"/>
    <cellStyle name="Normal 5 2 3 2 2 3 4" xfId="27458" xr:uid="{00000000-0005-0000-0000-0000335C0000}"/>
    <cellStyle name="Normal 5 2 3 2 2 4" xfId="6768" xr:uid="{00000000-0005-0000-0000-0000345C0000}"/>
    <cellStyle name="Normal 5 2 3 2 2 4 2" xfId="21715" xr:uid="{00000000-0005-0000-0000-0000355C0000}"/>
    <cellStyle name="Normal 5 2 3 2 2 4 3" xfId="27460" xr:uid="{00000000-0005-0000-0000-0000365C0000}"/>
    <cellStyle name="Normal 5 2 3 2 2 5" xfId="21710" xr:uid="{00000000-0005-0000-0000-0000375C0000}"/>
    <cellStyle name="Normal 5 2 3 2 2 6" xfId="27455" xr:uid="{00000000-0005-0000-0000-0000385C0000}"/>
    <cellStyle name="Normal 5 2 3 2 3" xfId="5524" xr:uid="{00000000-0005-0000-0000-0000395C0000}"/>
    <cellStyle name="Normal 5 2 3 2 3 2" xfId="6771" xr:uid="{00000000-0005-0000-0000-00003A5C0000}"/>
    <cellStyle name="Normal 5 2 3 2 3 2 2" xfId="21717" xr:uid="{00000000-0005-0000-0000-00003B5C0000}"/>
    <cellStyle name="Normal 5 2 3 2 3 2 3" xfId="27462" xr:uid="{00000000-0005-0000-0000-00003C5C0000}"/>
    <cellStyle name="Normal 5 2 3 2 3 3" xfId="21716" xr:uid="{00000000-0005-0000-0000-00003D5C0000}"/>
    <cellStyle name="Normal 5 2 3 2 3 4" xfId="27461" xr:uid="{00000000-0005-0000-0000-00003E5C0000}"/>
    <cellStyle name="Normal 5 2 3 2 4" xfId="5834" xr:uid="{00000000-0005-0000-0000-00003F5C0000}"/>
    <cellStyle name="Normal 5 2 3 2 4 2" xfId="6772" xr:uid="{00000000-0005-0000-0000-0000405C0000}"/>
    <cellStyle name="Normal 5 2 3 2 4 2 2" xfId="21719" xr:uid="{00000000-0005-0000-0000-0000415C0000}"/>
    <cellStyle name="Normal 5 2 3 2 4 2 3" xfId="27464" xr:uid="{00000000-0005-0000-0000-0000425C0000}"/>
    <cellStyle name="Normal 5 2 3 2 4 3" xfId="21718" xr:uid="{00000000-0005-0000-0000-0000435C0000}"/>
    <cellStyle name="Normal 5 2 3 2 4 4" xfId="27463" xr:uid="{00000000-0005-0000-0000-0000445C0000}"/>
    <cellStyle name="Normal 5 2 3 2 5" xfId="4951" xr:uid="{00000000-0005-0000-0000-0000455C0000}"/>
    <cellStyle name="Normal 5 2 3 2 5 2" xfId="6773" xr:uid="{00000000-0005-0000-0000-0000465C0000}"/>
    <cellStyle name="Normal 5 2 3 2 5 2 2" xfId="27466" xr:uid="{00000000-0005-0000-0000-0000475C0000}"/>
    <cellStyle name="Normal 5 2 3 2 5 3" xfId="21720" xr:uid="{00000000-0005-0000-0000-0000485C0000}"/>
    <cellStyle name="Normal 5 2 3 2 5 4" xfId="27465" xr:uid="{00000000-0005-0000-0000-0000495C0000}"/>
    <cellStyle name="Normal 5 2 3 2 6" xfId="6767" xr:uid="{00000000-0005-0000-0000-00004A5C0000}"/>
    <cellStyle name="Normal 5 2 3 2 6 2" xfId="27467" xr:uid="{00000000-0005-0000-0000-00004B5C0000}"/>
    <cellStyle name="Normal 5 2 3 2 7" xfId="21709" xr:uid="{00000000-0005-0000-0000-00004C5C0000}"/>
    <cellStyle name="Normal 5 2 3 2 8" xfId="25047" xr:uid="{00000000-0005-0000-0000-00004D5C0000}"/>
    <cellStyle name="Normal 5 2 3 2 9" xfId="27454" xr:uid="{00000000-0005-0000-0000-00004E5C0000}"/>
    <cellStyle name="Normal 5 2 3 3" xfId="4953" xr:uid="{00000000-0005-0000-0000-00004F5C0000}"/>
    <cellStyle name="Normal 5 2 3 3 2" xfId="5526" xr:uid="{00000000-0005-0000-0000-0000505C0000}"/>
    <cellStyle name="Normal 5 2 3 3 2 2" xfId="6775" xr:uid="{00000000-0005-0000-0000-0000515C0000}"/>
    <cellStyle name="Normal 5 2 3 3 2 2 2" xfId="21723" xr:uid="{00000000-0005-0000-0000-0000525C0000}"/>
    <cellStyle name="Normal 5 2 3 3 2 2 3" xfId="27470" xr:uid="{00000000-0005-0000-0000-0000535C0000}"/>
    <cellStyle name="Normal 5 2 3 3 2 3" xfId="21722" xr:uid="{00000000-0005-0000-0000-0000545C0000}"/>
    <cellStyle name="Normal 5 2 3 3 2 4" xfId="27469" xr:uid="{00000000-0005-0000-0000-0000555C0000}"/>
    <cellStyle name="Normal 5 2 3 3 3" xfId="5836" xr:uid="{00000000-0005-0000-0000-0000565C0000}"/>
    <cellStyle name="Normal 5 2 3 3 3 2" xfId="6776" xr:uid="{00000000-0005-0000-0000-0000575C0000}"/>
    <cellStyle name="Normal 5 2 3 3 3 2 2" xfId="21725" xr:uid="{00000000-0005-0000-0000-0000585C0000}"/>
    <cellStyle name="Normal 5 2 3 3 3 2 3" xfId="27472" xr:uid="{00000000-0005-0000-0000-0000595C0000}"/>
    <cellStyle name="Normal 5 2 3 3 3 3" xfId="21724" xr:uid="{00000000-0005-0000-0000-00005A5C0000}"/>
    <cellStyle name="Normal 5 2 3 3 3 4" xfId="27471" xr:uid="{00000000-0005-0000-0000-00005B5C0000}"/>
    <cellStyle name="Normal 5 2 3 3 4" xfId="6774" xr:uid="{00000000-0005-0000-0000-00005C5C0000}"/>
    <cellStyle name="Normal 5 2 3 3 4 2" xfId="21726" xr:uid="{00000000-0005-0000-0000-00005D5C0000}"/>
    <cellStyle name="Normal 5 2 3 3 4 3" xfId="27473" xr:uid="{00000000-0005-0000-0000-00005E5C0000}"/>
    <cellStyle name="Normal 5 2 3 3 5" xfId="21721" xr:uid="{00000000-0005-0000-0000-00005F5C0000}"/>
    <cellStyle name="Normal 5 2 3 3 6" xfId="27468" xr:uid="{00000000-0005-0000-0000-0000605C0000}"/>
    <cellStyle name="Normal 5 2 3 4" xfId="5523" xr:uid="{00000000-0005-0000-0000-0000615C0000}"/>
    <cellStyle name="Normal 5 2 3 4 2" xfId="6777" xr:uid="{00000000-0005-0000-0000-0000625C0000}"/>
    <cellStyle name="Normal 5 2 3 4 2 2" xfId="21728" xr:uid="{00000000-0005-0000-0000-0000635C0000}"/>
    <cellStyle name="Normal 5 2 3 4 2 3" xfId="27475" xr:uid="{00000000-0005-0000-0000-0000645C0000}"/>
    <cellStyle name="Normal 5 2 3 4 3" xfId="21727" xr:uid="{00000000-0005-0000-0000-0000655C0000}"/>
    <cellStyle name="Normal 5 2 3 4 4" xfId="27474" xr:uid="{00000000-0005-0000-0000-0000665C0000}"/>
    <cellStyle name="Normal 5 2 3 5" xfId="5833" xr:uid="{00000000-0005-0000-0000-0000675C0000}"/>
    <cellStyle name="Normal 5 2 3 5 2" xfId="6778" xr:uid="{00000000-0005-0000-0000-0000685C0000}"/>
    <cellStyle name="Normal 5 2 3 5 2 2" xfId="21730" xr:uid="{00000000-0005-0000-0000-0000695C0000}"/>
    <cellStyle name="Normal 5 2 3 5 2 3" xfId="27477" xr:uid="{00000000-0005-0000-0000-00006A5C0000}"/>
    <cellStyle name="Normal 5 2 3 5 3" xfId="21729" xr:uid="{00000000-0005-0000-0000-00006B5C0000}"/>
    <cellStyle name="Normal 5 2 3 5 4" xfId="27476" xr:uid="{00000000-0005-0000-0000-00006C5C0000}"/>
    <cellStyle name="Normal 5 2 3 6" xfId="4950" xr:uid="{00000000-0005-0000-0000-00006D5C0000}"/>
    <cellStyle name="Normal 5 2 3 6 2" xfId="6779" xr:uid="{00000000-0005-0000-0000-00006E5C0000}"/>
    <cellStyle name="Normal 5 2 3 6 2 2" xfId="27479" xr:uid="{00000000-0005-0000-0000-00006F5C0000}"/>
    <cellStyle name="Normal 5 2 3 6 3" xfId="21731" xr:uid="{00000000-0005-0000-0000-0000705C0000}"/>
    <cellStyle name="Normal 5 2 3 6 4" xfId="27478" xr:uid="{00000000-0005-0000-0000-0000715C0000}"/>
    <cellStyle name="Normal 5 2 3 7" xfId="6766" xr:uid="{00000000-0005-0000-0000-0000725C0000}"/>
    <cellStyle name="Normal 5 2 3 7 2" xfId="27480" xr:uid="{00000000-0005-0000-0000-0000735C0000}"/>
    <cellStyle name="Normal 5 2 3 8" xfId="21708" xr:uid="{00000000-0005-0000-0000-0000745C0000}"/>
    <cellStyle name="Normal 5 2 3 9" xfId="24927" xr:uid="{00000000-0005-0000-0000-0000755C0000}"/>
    <cellStyle name="Normal 5 2 4" xfId="3580" xr:uid="{00000000-0005-0000-0000-0000765C0000}"/>
    <cellStyle name="Normal 5 2 4 10" xfId="27481" xr:uid="{00000000-0005-0000-0000-0000775C0000}"/>
    <cellStyle name="Normal 5 2 4 2" xfId="4200" xr:uid="{00000000-0005-0000-0000-0000785C0000}"/>
    <cellStyle name="Normal 5 2 4 2 2" xfId="4956" xr:uid="{00000000-0005-0000-0000-0000795C0000}"/>
    <cellStyle name="Normal 5 2 4 2 2 2" xfId="5529" xr:uid="{00000000-0005-0000-0000-00007A5C0000}"/>
    <cellStyle name="Normal 5 2 4 2 2 2 2" xfId="6783" xr:uid="{00000000-0005-0000-0000-00007B5C0000}"/>
    <cellStyle name="Normal 5 2 4 2 2 2 2 2" xfId="21736" xr:uid="{00000000-0005-0000-0000-00007C5C0000}"/>
    <cellStyle name="Normal 5 2 4 2 2 2 2 3" xfId="27485" xr:uid="{00000000-0005-0000-0000-00007D5C0000}"/>
    <cellStyle name="Normal 5 2 4 2 2 2 3" xfId="21735" xr:uid="{00000000-0005-0000-0000-00007E5C0000}"/>
    <cellStyle name="Normal 5 2 4 2 2 2 4" xfId="27484" xr:uid="{00000000-0005-0000-0000-00007F5C0000}"/>
    <cellStyle name="Normal 5 2 4 2 2 3" xfId="5839" xr:uid="{00000000-0005-0000-0000-0000805C0000}"/>
    <cellStyle name="Normal 5 2 4 2 2 3 2" xfId="6784" xr:uid="{00000000-0005-0000-0000-0000815C0000}"/>
    <cellStyle name="Normal 5 2 4 2 2 3 2 2" xfId="21738" xr:uid="{00000000-0005-0000-0000-0000825C0000}"/>
    <cellStyle name="Normal 5 2 4 2 2 3 2 3" xfId="27487" xr:uid="{00000000-0005-0000-0000-0000835C0000}"/>
    <cellStyle name="Normal 5 2 4 2 2 3 3" xfId="21737" xr:uid="{00000000-0005-0000-0000-0000845C0000}"/>
    <cellStyle name="Normal 5 2 4 2 2 3 4" xfId="27486" xr:uid="{00000000-0005-0000-0000-0000855C0000}"/>
    <cellStyle name="Normal 5 2 4 2 2 4" xfId="6782" xr:uid="{00000000-0005-0000-0000-0000865C0000}"/>
    <cellStyle name="Normal 5 2 4 2 2 4 2" xfId="21739" xr:uid="{00000000-0005-0000-0000-0000875C0000}"/>
    <cellStyle name="Normal 5 2 4 2 2 4 3" xfId="27488" xr:uid="{00000000-0005-0000-0000-0000885C0000}"/>
    <cellStyle name="Normal 5 2 4 2 2 5" xfId="21734" xr:uid="{00000000-0005-0000-0000-0000895C0000}"/>
    <cellStyle name="Normal 5 2 4 2 2 6" xfId="27483" xr:uid="{00000000-0005-0000-0000-00008A5C0000}"/>
    <cellStyle name="Normal 5 2 4 2 3" xfId="5528" xr:uid="{00000000-0005-0000-0000-00008B5C0000}"/>
    <cellStyle name="Normal 5 2 4 2 3 2" xfId="6785" xr:uid="{00000000-0005-0000-0000-00008C5C0000}"/>
    <cellStyle name="Normal 5 2 4 2 3 2 2" xfId="21741" xr:uid="{00000000-0005-0000-0000-00008D5C0000}"/>
    <cellStyle name="Normal 5 2 4 2 3 2 3" xfId="27490" xr:uid="{00000000-0005-0000-0000-00008E5C0000}"/>
    <cellStyle name="Normal 5 2 4 2 3 3" xfId="21740" xr:uid="{00000000-0005-0000-0000-00008F5C0000}"/>
    <cellStyle name="Normal 5 2 4 2 3 4" xfId="27489" xr:uid="{00000000-0005-0000-0000-0000905C0000}"/>
    <cellStyle name="Normal 5 2 4 2 4" xfId="5838" xr:uid="{00000000-0005-0000-0000-0000915C0000}"/>
    <cellStyle name="Normal 5 2 4 2 4 2" xfId="6786" xr:uid="{00000000-0005-0000-0000-0000925C0000}"/>
    <cellStyle name="Normal 5 2 4 2 4 2 2" xfId="21743" xr:uid="{00000000-0005-0000-0000-0000935C0000}"/>
    <cellStyle name="Normal 5 2 4 2 4 2 3" xfId="27492" xr:uid="{00000000-0005-0000-0000-0000945C0000}"/>
    <cellStyle name="Normal 5 2 4 2 4 3" xfId="21742" xr:uid="{00000000-0005-0000-0000-0000955C0000}"/>
    <cellStyle name="Normal 5 2 4 2 4 4" xfId="27491" xr:uid="{00000000-0005-0000-0000-0000965C0000}"/>
    <cellStyle name="Normal 5 2 4 2 5" xfId="4955" xr:uid="{00000000-0005-0000-0000-0000975C0000}"/>
    <cellStyle name="Normal 5 2 4 2 5 2" xfId="6787" xr:uid="{00000000-0005-0000-0000-0000985C0000}"/>
    <cellStyle name="Normal 5 2 4 2 5 2 2" xfId="27494" xr:uid="{00000000-0005-0000-0000-0000995C0000}"/>
    <cellStyle name="Normal 5 2 4 2 5 3" xfId="21744" xr:uid="{00000000-0005-0000-0000-00009A5C0000}"/>
    <cellStyle name="Normal 5 2 4 2 5 4" xfId="27493" xr:uid="{00000000-0005-0000-0000-00009B5C0000}"/>
    <cellStyle name="Normal 5 2 4 2 6" xfId="6781" xr:uid="{00000000-0005-0000-0000-00009C5C0000}"/>
    <cellStyle name="Normal 5 2 4 2 6 2" xfId="27495" xr:uid="{00000000-0005-0000-0000-00009D5C0000}"/>
    <cellStyle name="Normal 5 2 4 2 7" xfId="21733" xr:uid="{00000000-0005-0000-0000-00009E5C0000}"/>
    <cellStyle name="Normal 5 2 4 2 8" xfId="25052" xr:uid="{00000000-0005-0000-0000-00009F5C0000}"/>
    <cellStyle name="Normal 5 2 4 2 9" xfId="27482" xr:uid="{00000000-0005-0000-0000-0000A05C0000}"/>
    <cellStyle name="Normal 5 2 4 3" xfId="4957" xr:uid="{00000000-0005-0000-0000-0000A15C0000}"/>
    <cellStyle name="Normal 5 2 4 3 2" xfId="5530" xr:uid="{00000000-0005-0000-0000-0000A25C0000}"/>
    <cellStyle name="Normal 5 2 4 3 2 2" xfId="6789" xr:uid="{00000000-0005-0000-0000-0000A35C0000}"/>
    <cellStyle name="Normal 5 2 4 3 2 2 2" xfId="21747" xr:uid="{00000000-0005-0000-0000-0000A45C0000}"/>
    <cellStyle name="Normal 5 2 4 3 2 2 3" xfId="27498" xr:uid="{00000000-0005-0000-0000-0000A55C0000}"/>
    <cellStyle name="Normal 5 2 4 3 2 3" xfId="21746" xr:uid="{00000000-0005-0000-0000-0000A65C0000}"/>
    <cellStyle name="Normal 5 2 4 3 2 4" xfId="27497" xr:uid="{00000000-0005-0000-0000-0000A75C0000}"/>
    <cellStyle name="Normal 5 2 4 3 3" xfId="5840" xr:uid="{00000000-0005-0000-0000-0000A85C0000}"/>
    <cellStyle name="Normal 5 2 4 3 3 2" xfId="6790" xr:uid="{00000000-0005-0000-0000-0000A95C0000}"/>
    <cellStyle name="Normal 5 2 4 3 3 2 2" xfId="21749" xr:uid="{00000000-0005-0000-0000-0000AA5C0000}"/>
    <cellStyle name="Normal 5 2 4 3 3 2 3" xfId="27500" xr:uid="{00000000-0005-0000-0000-0000AB5C0000}"/>
    <cellStyle name="Normal 5 2 4 3 3 3" xfId="21748" xr:uid="{00000000-0005-0000-0000-0000AC5C0000}"/>
    <cellStyle name="Normal 5 2 4 3 3 4" xfId="27499" xr:uid="{00000000-0005-0000-0000-0000AD5C0000}"/>
    <cellStyle name="Normal 5 2 4 3 4" xfId="6788" xr:uid="{00000000-0005-0000-0000-0000AE5C0000}"/>
    <cellStyle name="Normal 5 2 4 3 4 2" xfId="21750" xr:uid="{00000000-0005-0000-0000-0000AF5C0000}"/>
    <cellStyle name="Normal 5 2 4 3 4 3" xfId="27501" xr:uid="{00000000-0005-0000-0000-0000B05C0000}"/>
    <cellStyle name="Normal 5 2 4 3 5" xfId="21745" xr:uid="{00000000-0005-0000-0000-0000B15C0000}"/>
    <cellStyle name="Normal 5 2 4 3 6" xfId="27496" xr:uid="{00000000-0005-0000-0000-0000B25C0000}"/>
    <cellStyle name="Normal 5 2 4 4" xfId="5527" xr:uid="{00000000-0005-0000-0000-0000B35C0000}"/>
    <cellStyle name="Normal 5 2 4 4 2" xfId="6791" xr:uid="{00000000-0005-0000-0000-0000B45C0000}"/>
    <cellStyle name="Normal 5 2 4 4 2 2" xfId="21752" xr:uid="{00000000-0005-0000-0000-0000B55C0000}"/>
    <cellStyle name="Normal 5 2 4 4 2 3" xfId="27503" xr:uid="{00000000-0005-0000-0000-0000B65C0000}"/>
    <cellStyle name="Normal 5 2 4 4 3" xfId="21751" xr:uid="{00000000-0005-0000-0000-0000B75C0000}"/>
    <cellStyle name="Normal 5 2 4 4 4" xfId="27502" xr:uid="{00000000-0005-0000-0000-0000B85C0000}"/>
    <cellStyle name="Normal 5 2 4 5" xfId="5837" xr:uid="{00000000-0005-0000-0000-0000B95C0000}"/>
    <cellStyle name="Normal 5 2 4 5 2" xfId="6792" xr:uid="{00000000-0005-0000-0000-0000BA5C0000}"/>
    <cellStyle name="Normal 5 2 4 5 2 2" xfId="21754" xr:uid="{00000000-0005-0000-0000-0000BB5C0000}"/>
    <cellStyle name="Normal 5 2 4 5 2 3" xfId="27505" xr:uid="{00000000-0005-0000-0000-0000BC5C0000}"/>
    <cellStyle name="Normal 5 2 4 5 3" xfId="21753" xr:uid="{00000000-0005-0000-0000-0000BD5C0000}"/>
    <cellStyle name="Normal 5 2 4 5 4" xfId="27504" xr:uid="{00000000-0005-0000-0000-0000BE5C0000}"/>
    <cellStyle name="Normal 5 2 4 6" xfId="4954" xr:uid="{00000000-0005-0000-0000-0000BF5C0000}"/>
    <cellStyle name="Normal 5 2 4 6 2" xfId="6793" xr:uid="{00000000-0005-0000-0000-0000C05C0000}"/>
    <cellStyle name="Normal 5 2 4 6 2 2" xfId="27507" xr:uid="{00000000-0005-0000-0000-0000C15C0000}"/>
    <cellStyle name="Normal 5 2 4 6 3" xfId="21755" xr:uid="{00000000-0005-0000-0000-0000C25C0000}"/>
    <cellStyle name="Normal 5 2 4 6 4" xfId="27506" xr:uid="{00000000-0005-0000-0000-0000C35C0000}"/>
    <cellStyle name="Normal 5 2 4 7" xfId="6780" xr:uid="{00000000-0005-0000-0000-0000C45C0000}"/>
    <cellStyle name="Normal 5 2 4 7 2" xfId="27508" xr:uid="{00000000-0005-0000-0000-0000C55C0000}"/>
    <cellStyle name="Normal 5 2 4 8" xfId="21732" xr:uid="{00000000-0005-0000-0000-0000C65C0000}"/>
    <cellStyle name="Normal 5 2 4 9" xfId="24932" xr:uid="{00000000-0005-0000-0000-0000C75C0000}"/>
    <cellStyle name="Normal 5 2 5" xfId="3717" xr:uid="{00000000-0005-0000-0000-0000C85C0000}"/>
    <cellStyle name="Normal 5 2 5 10" xfId="27509" xr:uid="{00000000-0005-0000-0000-0000C95C0000}"/>
    <cellStyle name="Normal 5 2 5 2" xfId="4207" xr:uid="{00000000-0005-0000-0000-0000CA5C0000}"/>
    <cellStyle name="Normal 5 2 5 2 2" xfId="4960" xr:uid="{00000000-0005-0000-0000-0000CB5C0000}"/>
    <cellStyle name="Normal 5 2 5 2 2 2" xfId="5533" xr:uid="{00000000-0005-0000-0000-0000CC5C0000}"/>
    <cellStyle name="Normal 5 2 5 2 2 2 2" xfId="6797" xr:uid="{00000000-0005-0000-0000-0000CD5C0000}"/>
    <cellStyle name="Normal 5 2 5 2 2 2 2 2" xfId="21760" xr:uid="{00000000-0005-0000-0000-0000CE5C0000}"/>
    <cellStyle name="Normal 5 2 5 2 2 2 2 3" xfId="27513" xr:uid="{00000000-0005-0000-0000-0000CF5C0000}"/>
    <cellStyle name="Normal 5 2 5 2 2 2 3" xfId="21759" xr:uid="{00000000-0005-0000-0000-0000D05C0000}"/>
    <cellStyle name="Normal 5 2 5 2 2 2 4" xfId="27512" xr:uid="{00000000-0005-0000-0000-0000D15C0000}"/>
    <cellStyle name="Normal 5 2 5 2 2 3" xfId="5843" xr:uid="{00000000-0005-0000-0000-0000D25C0000}"/>
    <cellStyle name="Normal 5 2 5 2 2 3 2" xfId="6798" xr:uid="{00000000-0005-0000-0000-0000D35C0000}"/>
    <cellStyle name="Normal 5 2 5 2 2 3 2 2" xfId="21762" xr:uid="{00000000-0005-0000-0000-0000D45C0000}"/>
    <cellStyle name="Normal 5 2 5 2 2 3 2 3" xfId="27515" xr:uid="{00000000-0005-0000-0000-0000D55C0000}"/>
    <cellStyle name="Normal 5 2 5 2 2 3 3" xfId="21761" xr:uid="{00000000-0005-0000-0000-0000D65C0000}"/>
    <cellStyle name="Normal 5 2 5 2 2 3 4" xfId="27514" xr:uid="{00000000-0005-0000-0000-0000D75C0000}"/>
    <cellStyle name="Normal 5 2 5 2 2 4" xfId="6796" xr:uid="{00000000-0005-0000-0000-0000D85C0000}"/>
    <cellStyle name="Normal 5 2 5 2 2 4 2" xfId="21763" xr:uid="{00000000-0005-0000-0000-0000D95C0000}"/>
    <cellStyle name="Normal 5 2 5 2 2 4 3" xfId="27516" xr:uid="{00000000-0005-0000-0000-0000DA5C0000}"/>
    <cellStyle name="Normal 5 2 5 2 2 5" xfId="21758" xr:uid="{00000000-0005-0000-0000-0000DB5C0000}"/>
    <cellStyle name="Normal 5 2 5 2 2 6" xfId="27511" xr:uid="{00000000-0005-0000-0000-0000DC5C0000}"/>
    <cellStyle name="Normal 5 2 5 2 3" xfId="5532" xr:uid="{00000000-0005-0000-0000-0000DD5C0000}"/>
    <cellStyle name="Normal 5 2 5 2 3 2" xfId="6799" xr:uid="{00000000-0005-0000-0000-0000DE5C0000}"/>
    <cellStyle name="Normal 5 2 5 2 3 2 2" xfId="21765" xr:uid="{00000000-0005-0000-0000-0000DF5C0000}"/>
    <cellStyle name="Normal 5 2 5 2 3 2 3" xfId="27518" xr:uid="{00000000-0005-0000-0000-0000E05C0000}"/>
    <cellStyle name="Normal 5 2 5 2 3 3" xfId="21764" xr:uid="{00000000-0005-0000-0000-0000E15C0000}"/>
    <cellStyle name="Normal 5 2 5 2 3 4" xfId="27517" xr:uid="{00000000-0005-0000-0000-0000E25C0000}"/>
    <cellStyle name="Normal 5 2 5 2 4" xfId="5842" xr:uid="{00000000-0005-0000-0000-0000E35C0000}"/>
    <cellStyle name="Normal 5 2 5 2 4 2" xfId="6800" xr:uid="{00000000-0005-0000-0000-0000E45C0000}"/>
    <cellStyle name="Normal 5 2 5 2 4 2 2" xfId="21767" xr:uid="{00000000-0005-0000-0000-0000E55C0000}"/>
    <cellStyle name="Normal 5 2 5 2 4 2 3" xfId="27520" xr:uid="{00000000-0005-0000-0000-0000E65C0000}"/>
    <cellStyle name="Normal 5 2 5 2 4 3" xfId="21766" xr:uid="{00000000-0005-0000-0000-0000E75C0000}"/>
    <cellStyle name="Normal 5 2 5 2 4 4" xfId="27519" xr:uid="{00000000-0005-0000-0000-0000E85C0000}"/>
    <cellStyle name="Normal 5 2 5 2 5" xfId="4959" xr:uid="{00000000-0005-0000-0000-0000E95C0000}"/>
    <cellStyle name="Normal 5 2 5 2 5 2" xfId="6801" xr:uid="{00000000-0005-0000-0000-0000EA5C0000}"/>
    <cellStyle name="Normal 5 2 5 2 5 2 2" xfId="27522" xr:uid="{00000000-0005-0000-0000-0000EB5C0000}"/>
    <cellStyle name="Normal 5 2 5 2 5 3" xfId="21768" xr:uid="{00000000-0005-0000-0000-0000EC5C0000}"/>
    <cellStyle name="Normal 5 2 5 2 5 4" xfId="27521" xr:uid="{00000000-0005-0000-0000-0000ED5C0000}"/>
    <cellStyle name="Normal 5 2 5 2 6" xfId="6795" xr:uid="{00000000-0005-0000-0000-0000EE5C0000}"/>
    <cellStyle name="Normal 5 2 5 2 6 2" xfId="27523" xr:uid="{00000000-0005-0000-0000-0000EF5C0000}"/>
    <cellStyle name="Normal 5 2 5 2 7" xfId="21757" xr:uid="{00000000-0005-0000-0000-0000F05C0000}"/>
    <cellStyle name="Normal 5 2 5 2 8" xfId="25059" xr:uid="{00000000-0005-0000-0000-0000F15C0000}"/>
    <cellStyle name="Normal 5 2 5 2 9" xfId="27510" xr:uid="{00000000-0005-0000-0000-0000F25C0000}"/>
    <cellStyle name="Normal 5 2 5 3" xfId="4961" xr:uid="{00000000-0005-0000-0000-0000F35C0000}"/>
    <cellStyle name="Normal 5 2 5 3 2" xfId="5534" xr:uid="{00000000-0005-0000-0000-0000F45C0000}"/>
    <cellStyle name="Normal 5 2 5 3 2 2" xfId="6803" xr:uid="{00000000-0005-0000-0000-0000F55C0000}"/>
    <cellStyle name="Normal 5 2 5 3 2 2 2" xfId="21771" xr:uid="{00000000-0005-0000-0000-0000F65C0000}"/>
    <cellStyle name="Normal 5 2 5 3 2 2 3" xfId="27526" xr:uid="{00000000-0005-0000-0000-0000F75C0000}"/>
    <cellStyle name="Normal 5 2 5 3 2 3" xfId="21770" xr:uid="{00000000-0005-0000-0000-0000F85C0000}"/>
    <cellStyle name="Normal 5 2 5 3 2 4" xfId="27525" xr:uid="{00000000-0005-0000-0000-0000F95C0000}"/>
    <cellStyle name="Normal 5 2 5 3 3" xfId="5844" xr:uid="{00000000-0005-0000-0000-0000FA5C0000}"/>
    <cellStyle name="Normal 5 2 5 3 3 2" xfId="6804" xr:uid="{00000000-0005-0000-0000-0000FB5C0000}"/>
    <cellStyle name="Normal 5 2 5 3 3 2 2" xfId="21773" xr:uid="{00000000-0005-0000-0000-0000FC5C0000}"/>
    <cellStyle name="Normal 5 2 5 3 3 2 3" xfId="27528" xr:uid="{00000000-0005-0000-0000-0000FD5C0000}"/>
    <cellStyle name="Normal 5 2 5 3 3 3" xfId="21772" xr:uid="{00000000-0005-0000-0000-0000FE5C0000}"/>
    <cellStyle name="Normal 5 2 5 3 3 4" xfId="27527" xr:uid="{00000000-0005-0000-0000-0000FF5C0000}"/>
    <cellStyle name="Normal 5 2 5 3 4" xfId="6802" xr:uid="{00000000-0005-0000-0000-0000005D0000}"/>
    <cellStyle name="Normal 5 2 5 3 4 2" xfId="21774" xr:uid="{00000000-0005-0000-0000-0000015D0000}"/>
    <cellStyle name="Normal 5 2 5 3 4 3" xfId="27529" xr:uid="{00000000-0005-0000-0000-0000025D0000}"/>
    <cellStyle name="Normal 5 2 5 3 5" xfId="21769" xr:uid="{00000000-0005-0000-0000-0000035D0000}"/>
    <cellStyle name="Normal 5 2 5 3 6" xfId="27524" xr:uid="{00000000-0005-0000-0000-0000045D0000}"/>
    <cellStyle name="Normal 5 2 5 4" xfId="5531" xr:uid="{00000000-0005-0000-0000-0000055D0000}"/>
    <cellStyle name="Normal 5 2 5 4 2" xfId="6805" xr:uid="{00000000-0005-0000-0000-0000065D0000}"/>
    <cellStyle name="Normal 5 2 5 4 2 2" xfId="21776" xr:uid="{00000000-0005-0000-0000-0000075D0000}"/>
    <cellStyle name="Normal 5 2 5 4 2 3" xfId="27531" xr:uid="{00000000-0005-0000-0000-0000085D0000}"/>
    <cellStyle name="Normal 5 2 5 4 3" xfId="21775" xr:uid="{00000000-0005-0000-0000-0000095D0000}"/>
    <cellStyle name="Normal 5 2 5 4 4" xfId="27530" xr:uid="{00000000-0005-0000-0000-00000A5D0000}"/>
    <cellStyle name="Normal 5 2 5 5" xfId="5841" xr:uid="{00000000-0005-0000-0000-00000B5D0000}"/>
    <cellStyle name="Normal 5 2 5 5 2" xfId="6806" xr:uid="{00000000-0005-0000-0000-00000C5D0000}"/>
    <cellStyle name="Normal 5 2 5 5 2 2" xfId="21778" xr:uid="{00000000-0005-0000-0000-00000D5D0000}"/>
    <cellStyle name="Normal 5 2 5 5 2 3" xfId="27533" xr:uid="{00000000-0005-0000-0000-00000E5D0000}"/>
    <cellStyle name="Normal 5 2 5 5 3" xfId="21777" xr:uid="{00000000-0005-0000-0000-00000F5D0000}"/>
    <cellStyle name="Normal 5 2 5 5 4" xfId="27532" xr:uid="{00000000-0005-0000-0000-0000105D0000}"/>
    <cellStyle name="Normal 5 2 5 6" xfId="4958" xr:uid="{00000000-0005-0000-0000-0000115D0000}"/>
    <cellStyle name="Normal 5 2 5 6 2" xfId="6807" xr:uid="{00000000-0005-0000-0000-0000125D0000}"/>
    <cellStyle name="Normal 5 2 5 6 2 2" xfId="27535" xr:uid="{00000000-0005-0000-0000-0000135D0000}"/>
    <cellStyle name="Normal 5 2 5 6 3" xfId="21779" xr:uid="{00000000-0005-0000-0000-0000145D0000}"/>
    <cellStyle name="Normal 5 2 5 6 4" xfId="27534" xr:uid="{00000000-0005-0000-0000-0000155D0000}"/>
    <cellStyle name="Normal 5 2 5 7" xfId="6794" xr:uid="{00000000-0005-0000-0000-0000165D0000}"/>
    <cellStyle name="Normal 5 2 5 7 2" xfId="27536" xr:uid="{00000000-0005-0000-0000-0000175D0000}"/>
    <cellStyle name="Normal 5 2 5 8" xfId="21756" xr:uid="{00000000-0005-0000-0000-0000185D0000}"/>
    <cellStyle name="Normal 5 2 5 9" xfId="24939" xr:uid="{00000000-0005-0000-0000-0000195D0000}"/>
    <cellStyle name="Normal 5 2 6" xfId="1386" xr:uid="{00000000-0005-0000-0000-00001A5D0000}"/>
    <cellStyle name="Normal 5 2 6 2" xfId="21780" xr:uid="{00000000-0005-0000-0000-00001B5D0000}"/>
    <cellStyle name="Normal 5 2 7" xfId="3903" xr:uid="{00000000-0005-0000-0000-00001C5D0000}"/>
    <cellStyle name="Normal 5 2 8" xfId="1038" xr:uid="{00000000-0005-0000-0000-00001D5D0000}"/>
    <cellStyle name="Normal 5 2 9" xfId="24544" xr:uid="{00000000-0005-0000-0000-00001E5D0000}"/>
    <cellStyle name="Normal 5 20" xfId="1202" xr:uid="{00000000-0005-0000-0000-00001F5D0000}"/>
    <cellStyle name="Normal 5 20 2" xfId="4072" xr:uid="{00000000-0005-0000-0000-0000205D0000}"/>
    <cellStyle name="Normal 5 21" xfId="1212" xr:uid="{00000000-0005-0000-0000-0000215D0000}"/>
    <cellStyle name="Normal 5 21 2" xfId="4082" xr:uid="{00000000-0005-0000-0000-0000225D0000}"/>
    <cellStyle name="Normal 5 22" xfId="1222" xr:uid="{00000000-0005-0000-0000-0000235D0000}"/>
    <cellStyle name="Normal 5 22 2" xfId="4092" xr:uid="{00000000-0005-0000-0000-0000245D0000}"/>
    <cellStyle name="Normal 5 23" xfId="1232" xr:uid="{00000000-0005-0000-0000-0000255D0000}"/>
    <cellStyle name="Normal 5 23 2" xfId="4102" xr:uid="{00000000-0005-0000-0000-0000265D0000}"/>
    <cellStyle name="Normal 5 24" xfId="1242" xr:uid="{00000000-0005-0000-0000-0000275D0000}"/>
    <cellStyle name="Normal 5 24 2" xfId="4112" xr:uid="{00000000-0005-0000-0000-0000285D0000}"/>
    <cellStyle name="Normal 5 25" xfId="1252" xr:uid="{00000000-0005-0000-0000-0000295D0000}"/>
    <cellStyle name="Normal 5 25 2" xfId="4122" xr:uid="{00000000-0005-0000-0000-00002A5D0000}"/>
    <cellStyle name="Normal 5 26" xfId="1370" xr:uid="{00000000-0005-0000-0000-00002B5D0000}"/>
    <cellStyle name="Normal 5 26 2" xfId="4170" xr:uid="{00000000-0005-0000-0000-00002C5D0000}"/>
    <cellStyle name="Normal 5 26 2 2" xfId="6809" xr:uid="{00000000-0005-0000-0000-00002D5D0000}"/>
    <cellStyle name="Normal 5 26 2 2 2" xfId="27539" xr:uid="{00000000-0005-0000-0000-00002E5D0000}"/>
    <cellStyle name="Normal 5 26 2 3" xfId="25022" xr:uid="{00000000-0005-0000-0000-00002F5D0000}"/>
    <cellStyle name="Normal 5 26 2 4" xfId="27538" xr:uid="{00000000-0005-0000-0000-0000305D0000}"/>
    <cellStyle name="Normal 5 26 3" xfId="6808" xr:uid="{00000000-0005-0000-0000-0000315D0000}"/>
    <cellStyle name="Normal 5 26 3 2" xfId="27540" xr:uid="{00000000-0005-0000-0000-0000325D0000}"/>
    <cellStyle name="Normal 5 26 4" xfId="24902" xr:uid="{00000000-0005-0000-0000-0000335D0000}"/>
    <cellStyle name="Normal 5 26 5" xfId="27537" xr:uid="{00000000-0005-0000-0000-0000345D0000}"/>
    <cellStyle name="Normal 5 27" xfId="3843" xr:uid="{00000000-0005-0000-0000-0000355D0000}"/>
    <cellStyle name="Normal 5 27 2" xfId="6810" xr:uid="{00000000-0005-0000-0000-0000365D0000}"/>
    <cellStyle name="Normal 5 27 2 2" xfId="27542" xr:uid="{00000000-0005-0000-0000-0000375D0000}"/>
    <cellStyle name="Normal 5 27 3" xfId="24979" xr:uid="{00000000-0005-0000-0000-0000385D0000}"/>
    <cellStyle name="Normal 5 27 4" xfId="27541" xr:uid="{00000000-0005-0000-0000-0000395D0000}"/>
    <cellStyle name="Normal 5 28" xfId="627" xr:uid="{00000000-0005-0000-0000-00003A5D0000}"/>
    <cellStyle name="Normal 5 28 2" xfId="6811" xr:uid="{00000000-0005-0000-0000-00003B5D0000}"/>
    <cellStyle name="Normal 5 28 2 2" xfId="27544" xr:uid="{00000000-0005-0000-0000-00003C5D0000}"/>
    <cellStyle name="Normal 5 28 3" xfId="27543" xr:uid="{00000000-0005-0000-0000-00003D5D0000}"/>
    <cellStyle name="Normal 5 29" xfId="24543" xr:uid="{00000000-0005-0000-0000-00003E5D0000}"/>
    <cellStyle name="Normal 5 3" xfId="62" xr:uid="{00000000-0005-0000-0000-00003F5D0000}"/>
    <cellStyle name="Normal 5 3 2" xfId="3761" xr:uid="{00000000-0005-0000-0000-0000405D0000}"/>
    <cellStyle name="Normal 5 3 2 10" xfId="27545" xr:uid="{00000000-0005-0000-0000-0000415D0000}"/>
    <cellStyle name="Normal 5 3 2 2" xfId="4210" xr:uid="{00000000-0005-0000-0000-0000425D0000}"/>
    <cellStyle name="Normal 5 3 2 2 2" xfId="4964" xr:uid="{00000000-0005-0000-0000-0000435D0000}"/>
    <cellStyle name="Normal 5 3 2 2 2 2" xfId="5538" xr:uid="{00000000-0005-0000-0000-0000445D0000}"/>
    <cellStyle name="Normal 5 3 2 2 2 2 2" xfId="6815" xr:uid="{00000000-0005-0000-0000-0000455D0000}"/>
    <cellStyle name="Normal 5 3 2 2 2 2 2 2" xfId="21785" xr:uid="{00000000-0005-0000-0000-0000465D0000}"/>
    <cellStyle name="Normal 5 3 2 2 2 2 2 3" xfId="27549" xr:uid="{00000000-0005-0000-0000-0000475D0000}"/>
    <cellStyle name="Normal 5 3 2 2 2 2 3" xfId="21784" xr:uid="{00000000-0005-0000-0000-0000485D0000}"/>
    <cellStyle name="Normal 5 3 2 2 2 2 4" xfId="27548" xr:uid="{00000000-0005-0000-0000-0000495D0000}"/>
    <cellStyle name="Normal 5 3 2 2 2 3" xfId="5848" xr:uid="{00000000-0005-0000-0000-00004A5D0000}"/>
    <cellStyle name="Normal 5 3 2 2 2 3 2" xfId="6816" xr:uid="{00000000-0005-0000-0000-00004B5D0000}"/>
    <cellStyle name="Normal 5 3 2 2 2 3 2 2" xfId="21787" xr:uid="{00000000-0005-0000-0000-00004C5D0000}"/>
    <cellStyle name="Normal 5 3 2 2 2 3 2 3" xfId="27551" xr:uid="{00000000-0005-0000-0000-00004D5D0000}"/>
    <cellStyle name="Normal 5 3 2 2 2 3 3" xfId="21786" xr:uid="{00000000-0005-0000-0000-00004E5D0000}"/>
    <cellStyle name="Normal 5 3 2 2 2 3 4" xfId="27550" xr:uid="{00000000-0005-0000-0000-00004F5D0000}"/>
    <cellStyle name="Normal 5 3 2 2 2 4" xfId="6814" xr:uid="{00000000-0005-0000-0000-0000505D0000}"/>
    <cellStyle name="Normal 5 3 2 2 2 4 2" xfId="21788" xr:uid="{00000000-0005-0000-0000-0000515D0000}"/>
    <cellStyle name="Normal 5 3 2 2 2 4 3" xfId="27552" xr:uid="{00000000-0005-0000-0000-0000525D0000}"/>
    <cellStyle name="Normal 5 3 2 2 2 5" xfId="21783" xr:uid="{00000000-0005-0000-0000-0000535D0000}"/>
    <cellStyle name="Normal 5 3 2 2 2 6" xfId="27547" xr:uid="{00000000-0005-0000-0000-0000545D0000}"/>
    <cellStyle name="Normal 5 3 2 2 3" xfId="5537" xr:uid="{00000000-0005-0000-0000-0000555D0000}"/>
    <cellStyle name="Normal 5 3 2 2 3 2" xfId="6817" xr:uid="{00000000-0005-0000-0000-0000565D0000}"/>
    <cellStyle name="Normal 5 3 2 2 3 2 2" xfId="21790" xr:uid="{00000000-0005-0000-0000-0000575D0000}"/>
    <cellStyle name="Normal 5 3 2 2 3 2 3" xfId="27554" xr:uid="{00000000-0005-0000-0000-0000585D0000}"/>
    <cellStyle name="Normal 5 3 2 2 3 3" xfId="21789" xr:uid="{00000000-0005-0000-0000-0000595D0000}"/>
    <cellStyle name="Normal 5 3 2 2 3 4" xfId="27553" xr:uid="{00000000-0005-0000-0000-00005A5D0000}"/>
    <cellStyle name="Normal 5 3 2 2 4" xfId="5847" xr:uid="{00000000-0005-0000-0000-00005B5D0000}"/>
    <cellStyle name="Normal 5 3 2 2 4 2" xfId="6818" xr:uid="{00000000-0005-0000-0000-00005C5D0000}"/>
    <cellStyle name="Normal 5 3 2 2 4 2 2" xfId="21792" xr:uid="{00000000-0005-0000-0000-00005D5D0000}"/>
    <cellStyle name="Normal 5 3 2 2 4 2 3" xfId="27556" xr:uid="{00000000-0005-0000-0000-00005E5D0000}"/>
    <cellStyle name="Normal 5 3 2 2 4 3" xfId="21791" xr:uid="{00000000-0005-0000-0000-00005F5D0000}"/>
    <cellStyle name="Normal 5 3 2 2 4 4" xfId="27555" xr:uid="{00000000-0005-0000-0000-0000605D0000}"/>
    <cellStyle name="Normal 5 3 2 2 5" xfId="4963" xr:uid="{00000000-0005-0000-0000-0000615D0000}"/>
    <cellStyle name="Normal 5 3 2 2 5 2" xfId="6819" xr:uid="{00000000-0005-0000-0000-0000625D0000}"/>
    <cellStyle name="Normal 5 3 2 2 5 2 2" xfId="27558" xr:uid="{00000000-0005-0000-0000-0000635D0000}"/>
    <cellStyle name="Normal 5 3 2 2 5 3" xfId="21793" xr:uid="{00000000-0005-0000-0000-0000645D0000}"/>
    <cellStyle name="Normal 5 3 2 2 5 4" xfId="27557" xr:uid="{00000000-0005-0000-0000-0000655D0000}"/>
    <cellStyle name="Normal 5 3 2 2 6" xfId="6813" xr:uid="{00000000-0005-0000-0000-0000665D0000}"/>
    <cellStyle name="Normal 5 3 2 2 6 2" xfId="27559" xr:uid="{00000000-0005-0000-0000-0000675D0000}"/>
    <cellStyle name="Normal 5 3 2 2 7" xfId="21782" xr:uid="{00000000-0005-0000-0000-0000685D0000}"/>
    <cellStyle name="Normal 5 3 2 2 8" xfId="25062" xr:uid="{00000000-0005-0000-0000-0000695D0000}"/>
    <cellStyle name="Normal 5 3 2 2 9" xfId="27546" xr:uid="{00000000-0005-0000-0000-00006A5D0000}"/>
    <cellStyle name="Normal 5 3 2 3" xfId="4965" xr:uid="{00000000-0005-0000-0000-00006B5D0000}"/>
    <cellStyle name="Normal 5 3 2 3 2" xfId="5539" xr:uid="{00000000-0005-0000-0000-00006C5D0000}"/>
    <cellStyle name="Normal 5 3 2 3 2 2" xfId="6821" xr:uid="{00000000-0005-0000-0000-00006D5D0000}"/>
    <cellStyle name="Normal 5 3 2 3 2 2 2" xfId="21796" xr:uid="{00000000-0005-0000-0000-00006E5D0000}"/>
    <cellStyle name="Normal 5 3 2 3 2 2 3" xfId="27562" xr:uid="{00000000-0005-0000-0000-00006F5D0000}"/>
    <cellStyle name="Normal 5 3 2 3 2 3" xfId="21795" xr:uid="{00000000-0005-0000-0000-0000705D0000}"/>
    <cellStyle name="Normal 5 3 2 3 2 4" xfId="27561" xr:uid="{00000000-0005-0000-0000-0000715D0000}"/>
    <cellStyle name="Normal 5 3 2 3 3" xfId="5849" xr:uid="{00000000-0005-0000-0000-0000725D0000}"/>
    <cellStyle name="Normal 5 3 2 3 3 2" xfId="6822" xr:uid="{00000000-0005-0000-0000-0000735D0000}"/>
    <cellStyle name="Normal 5 3 2 3 3 2 2" xfId="21798" xr:uid="{00000000-0005-0000-0000-0000745D0000}"/>
    <cellStyle name="Normal 5 3 2 3 3 2 3" xfId="27564" xr:uid="{00000000-0005-0000-0000-0000755D0000}"/>
    <cellStyle name="Normal 5 3 2 3 3 3" xfId="21797" xr:uid="{00000000-0005-0000-0000-0000765D0000}"/>
    <cellStyle name="Normal 5 3 2 3 3 4" xfId="27563" xr:uid="{00000000-0005-0000-0000-0000775D0000}"/>
    <cellStyle name="Normal 5 3 2 3 4" xfId="6820" xr:uid="{00000000-0005-0000-0000-0000785D0000}"/>
    <cellStyle name="Normal 5 3 2 3 4 2" xfId="21799" xr:uid="{00000000-0005-0000-0000-0000795D0000}"/>
    <cellStyle name="Normal 5 3 2 3 4 3" xfId="27565" xr:uid="{00000000-0005-0000-0000-00007A5D0000}"/>
    <cellStyle name="Normal 5 3 2 3 5" xfId="21794" xr:uid="{00000000-0005-0000-0000-00007B5D0000}"/>
    <cellStyle name="Normal 5 3 2 3 6" xfId="27560" xr:uid="{00000000-0005-0000-0000-00007C5D0000}"/>
    <cellStyle name="Normal 5 3 2 4" xfId="5536" xr:uid="{00000000-0005-0000-0000-00007D5D0000}"/>
    <cellStyle name="Normal 5 3 2 4 2" xfId="6823" xr:uid="{00000000-0005-0000-0000-00007E5D0000}"/>
    <cellStyle name="Normal 5 3 2 4 2 2" xfId="21801" xr:uid="{00000000-0005-0000-0000-00007F5D0000}"/>
    <cellStyle name="Normal 5 3 2 4 2 3" xfId="27567" xr:uid="{00000000-0005-0000-0000-0000805D0000}"/>
    <cellStyle name="Normal 5 3 2 4 3" xfId="21800" xr:uid="{00000000-0005-0000-0000-0000815D0000}"/>
    <cellStyle name="Normal 5 3 2 4 4" xfId="27566" xr:uid="{00000000-0005-0000-0000-0000825D0000}"/>
    <cellStyle name="Normal 5 3 2 5" xfId="5846" xr:uid="{00000000-0005-0000-0000-0000835D0000}"/>
    <cellStyle name="Normal 5 3 2 5 2" xfId="6824" xr:uid="{00000000-0005-0000-0000-0000845D0000}"/>
    <cellStyle name="Normal 5 3 2 5 2 2" xfId="21803" xr:uid="{00000000-0005-0000-0000-0000855D0000}"/>
    <cellStyle name="Normal 5 3 2 5 2 3" xfId="27569" xr:uid="{00000000-0005-0000-0000-0000865D0000}"/>
    <cellStyle name="Normal 5 3 2 5 3" xfId="21802" xr:uid="{00000000-0005-0000-0000-0000875D0000}"/>
    <cellStyle name="Normal 5 3 2 5 4" xfId="27568" xr:uid="{00000000-0005-0000-0000-0000885D0000}"/>
    <cellStyle name="Normal 5 3 2 6" xfId="4962" xr:uid="{00000000-0005-0000-0000-0000895D0000}"/>
    <cellStyle name="Normal 5 3 2 6 2" xfId="6825" xr:uid="{00000000-0005-0000-0000-00008A5D0000}"/>
    <cellStyle name="Normal 5 3 2 6 2 2" xfId="27571" xr:uid="{00000000-0005-0000-0000-00008B5D0000}"/>
    <cellStyle name="Normal 5 3 2 6 3" xfId="21804" xr:uid="{00000000-0005-0000-0000-00008C5D0000}"/>
    <cellStyle name="Normal 5 3 2 6 4" xfId="27570" xr:uid="{00000000-0005-0000-0000-00008D5D0000}"/>
    <cellStyle name="Normal 5 3 2 7" xfId="6812" xr:uid="{00000000-0005-0000-0000-00008E5D0000}"/>
    <cellStyle name="Normal 5 3 2 7 2" xfId="27572" xr:uid="{00000000-0005-0000-0000-00008F5D0000}"/>
    <cellStyle name="Normal 5 3 2 8" xfId="21781" xr:uid="{00000000-0005-0000-0000-0000905D0000}"/>
    <cellStyle name="Normal 5 3 2 9" xfId="24942" xr:uid="{00000000-0005-0000-0000-0000915D0000}"/>
    <cellStyle name="Normal 5 3 3" xfId="1535" xr:uid="{00000000-0005-0000-0000-0000925D0000}"/>
    <cellStyle name="Normal 5 3 3 2" xfId="4188" xr:uid="{00000000-0005-0000-0000-0000935D0000}"/>
    <cellStyle name="Normal 5 3 3 2 2" xfId="5541" xr:uid="{00000000-0005-0000-0000-0000945D0000}"/>
    <cellStyle name="Normal 5 3 3 2 2 2" xfId="6828" xr:uid="{00000000-0005-0000-0000-0000955D0000}"/>
    <cellStyle name="Normal 5 3 3 2 2 2 2" xfId="21808" xr:uid="{00000000-0005-0000-0000-0000965D0000}"/>
    <cellStyle name="Normal 5 3 3 2 2 2 3" xfId="27576" xr:uid="{00000000-0005-0000-0000-0000975D0000}"/>
    <cellStyle name="Normal 5 3 3 2 2 3" xfId="21807" xr:uid="{00000000-0005-0000-0000-0000985D0000}"/>
    <cellStyle name="Normal 5 3 3 2 2 4" xfId="27575" xr:uid="{00000000-0005-0000-0000-0000995D0000}"/>
    <cellStyle name="Normal 5 3 3 2 3" xfId="5851" xr:uid="{00000000-0005-0000-0000-00009A5D0000}"/>
    <cellStyle name="Normal 5 3 3 2 3 2" xfId="6829" xr:uid="{00000000-0005-0000-0000-00009B5D0000}"/>
    <cellStyle name="Normal 5 3 3 2 3 2 2" xfId="21810" xr:uid="{00000000-0005-0000-0000-00009C5D0000}"/>
    <cellStyle name="Normal 5 3 3 2 3 2 3" xfId="27578" xr:uid="{00000000-0005-0000-0000-00009D5D0000}"/>
    <cellStyle name="Normal 5 3 3 2 3 3" xfId="21809" xr:uid="{00000000-0005-0000-0000-00009E5D0000}"/>
    <cellStyle name="Normal 5 3 3 2 3 4" xfId="27577" xr:uid="{00000000-0005-0000-0000-00009F5D0000}"/>
    <cellStyle name="Normal 5 3 3 2 4" xfId="4967" xr:uid="{00000000-0005-0000-0000-0000A05D0000}"/>
    <cellStyle name="Normal 5 3 3 2 4 2" xfId="6830" xr:uid="{00000000-0005-0000-0000-0000A15D0000}"/>
    <cellStyle name="Normal 5 3 3 2 4 2 2" xfId="27580" xr:uid="{00000000-0005-0000-0000-0000A25D0000}"/>
    <cellStyle name="Normal 5 3 3 2 4 3" xfId="21811" xr:uid="{00000000-0005-0000-0000-0000A35D0000}"/>
    <cellStyle name="Normal 5 3 3 2 4 4" xfId="27579" xr:uid="{00000000-0005-0000-0000-0000A45D0000}"/>
    <cellStyle name="Normal 5 3 3 2 5" xfId="6827" xr:uid="{00000000-0005-0000-0000-0000A55D0000}"/>
    <cellStyle name="Normal 5 3 3 2 5 2" xfId="27581" xr:uid="{00000000-0005-0000-0000-0000A65D0000}"/>
    <cellStyle name="Normal 5 3 3 2 6" xfId="21806" xr:uid="{00000000-0005-0000-0000-0000A75D0000}"/>
    <cellStyle name="Normal 5 3 3 2 7" xfId="25040" xr:uid="{00000000-0005-0000-0000-0000A85D0000}"/>
    <cellStyle name="Normal 5 3 3 2 8" xfId="27574" xr:uid="{00000000-0005-0000-0000-0000A95D0000}"/>
    <cellStyle name="Normal 5 3 3 3" xfId="5540" xr:uid="{00000000-0005-0000-0000-0000AA5D0000}"/>
    <cellStyle name="Normal 5 3 3 3 2" xfId="6831" xr:uid="{00000000-0005-0000-0000-0000AB5D0000}"/>
    <cellStyle name="Normal 5 3 3 3 2 2" xfId="21813" xr:uid="{00000000-0005-0000-0000-0000AC5D0000}"/>
    <cellStyle name="Normal 5 3 3 3 2 3" xfId="27583" xr:uid="{00000000-0005-0000-0000-0000AD5D0000}"/>
    <cellStyle name="Normal 5 3 3 3 3" xfId="21812" xr:uid="{00000000-0005-0000-0000-0000AE5D0000}"/>
    <cellStyle name="Normal 5 3 3 3 4" xfId="27582" xr:uid="{00000000-0005-0000-0000-0000AF5D0000}"/>
    <cellStyle name="Normal 5 3 3 4" xfId="5850" xr:uid="{00000000-0005-0000-0000-0000B05D0000}"/>
    <cellStyle name="Normal 5 3 3 4 2" xfId="6832" xr:uid="{00000000-0005-0000-0000-0000B15D0000}"/>
    <cellStyle name="Normal 5 3 3 4 2 2" xfId="21815" xr:uid="{00000000-0005-0000-0000-0000B25D0000}"/>
    <cellStyle name="Normal 5 3 3 4 2 3" xfId="27585" xr:uid="{00000000-0005-0000-0000-0000B35D0000}"/>
    <cellStyle name="Normal 5 3 3 4 3" xfId="21814" xr:uid="{00000000-0005-0000-0000-0000B45D0000}"/>
    <cellStyle name="Normal 5 3 3 4 4" xfId="27584" xr:uid="{00000000-0005-0000-0000-0000B55D0000}"/>
    <cellStyle name="Normal 5 3 3 5" xfId="4966" xr:uid="{00000000-0005-0000-0000-0000B65D0000}"/>
    <cellStyle name="Normal 5 3 3 5 2" xfId="6833" xr:uid="{00000000-0005-0000-0000-0000B75D0000}"/>
    <cellStyle name="Normal 5 3 3 5 2 2" xfId="27587" xr:uid="{00000000-0005-0000-0000-0000B85D0000}"/>
    <cellStyle name="Normal 5 3 3 5 3" xfId="21816" xr:uid="{00000000-0005-0000-0000-0000B95D0000}"/>
    <cellStyle name="Normal 5 3 3 5 4" xfId="27586" xr:uid="{00000000-0005-0000-0000-0000BA5D0000}"/>
    <cellStyle name="Normal 5 3 3 6" xfId="6826" xr:uid="{00000000-0005-0000-0000-0000BB5D0000}"/>
    <cellStyle name="Normal 5 3 3 6 2" xfId="27588" xr:uid="{00000000-0005-0000-0000-0000BC5D0000}"/>
    <cellStyle name="Normal 5 3 3 7" xfId="21805" xr:uid="{00000000-0005-0000-0000-0000BD5D0000}"/>
    <cellStyle name="Normal 5 3 3 8" xfId="24920" xr:uid="{00000000-0005-0000-0000-0000BE5D0000}"/>
    <cellStyle name="Normal 5 3 3 9" xfId="27573" xr:uid="{00000000-0005-0000-0000-0000BF5D0000}"/>
    <cellStyle name="Normal 5 3 4" xfId="3917" xr:uid="{00000000-0005-0000-0000-0000C05D0000}"/>
    <cellStyle name="Normal 5 3 4 2" xfId="5542" xr:uid="{00000000-0005-0000-0000-0000C15D0000}"/>
    <cellStyle name="Normal 5 3 4 2 2" xfId="6834" xr:uid="{00000000-0005-0000-0000-0000C25D0000}"/>
    <cellStyle name="Normal 5 3 4 2 2 2" xfId="21819" xr:uid="{00000000-0005-0000-0000-0000C35D0000}"/>
    <cellStyle name="Normal 5 3 4 2 2 3" xfId="27590" xr:uid="{00000000-0005-0000-0000-0000C45D0000}"/>
    <cellStyle name="Normal 5 3 4 2 3" xfId="21818" xr:uid="{00000000-0005-0000-0000-0000C55D0000}"/>
    <cellStyle name="Normal 5 3 4 2 4" xfId="27589" xr:uid="{00000000-0005-0000-0000-0000C65D0000}"/>
    <cellStyle name="Normal 5 3 4 3" xfId="5852" xr:uid="{00000000-0005-0000-0000-0000C75D0000}"/>
    <cellStyle name="Normal 5 3 4 3 2" xfId="6835" xr:uid="{00000000-0005-0000-0000-0000C85D0000}"/>
    <cellStyle name="Normal 5 3 4 3 2 2" xfId="21821" xr:uid="{00000000-0005-0000-0000-0000C95D0000}"/>
    <cellStyle name="Normal 5 3 4 3 2 3" xfId="27592" xr:uid="{00000000-0005-0000-0000-0000CA5D0000}"/>
    <cellStyle name="Normal 5 3 4 3 3" xfId="21820" xr:uid="{00000000-0005-0000-0000-0000CB5D0000}"/>
    <cellStyle name="Normal 5 3 4 3 4" xfId="27591" xr:uid="{00000000-0005-0000-0000-0000CC5D0000}"/>
    <cellStyle name="Normal 5 3 4 4" xfId="4968" xr:uid="{00000000-0005-0000-0000-0000CD5D0000}"/>
    <cellStyle name="Normal 5 3 4 4 2" xfId="6836" xr:uid="{00000000-0005-0000-0000-0000CE5D0000}"/>
    <cellStyle name="Normal 5 3 4 4 2 2" xfId="27594" xr:uid="{00000000-0005-0000-0000-0000CF5D0000}"/>
    <cellStyle name="Normal 5 3 4 4 3" xfId="21822" xr:uid="{00000000-0005-0000-0000-0000D05D0000}"/>
    <cellStyle name="Normal 5 3 4 4 4" xfId="27593" xr:uid="{00000000-0005-0000-0000-0000D15D0000}"/>
    <cellStyle name="Normal 5 3 4 5" xfId="21817" xr:uid="{00000000-0005-0000-0000-0000D25D0000}"/>
    <cellStyle name="Normal 5 3 5" xfId="1047" xr:uid="{00000000-0005-0000-0000-0000D35D0000}"/>
    <cellStyle name="Normal 5 3 5 2" xfId="4969" xr:uid="{00000000-0005-0000-0000-0000D45D0000}"/>
    <cellStyle name="Normal 5 3 5 2 2" xfId="6837" xr:uid="{00000000-0005-0000-0000-0000D55D0000}"/>
    <cellStyle name="Normal 5 3 5 2 2 2" xfId="21825" xr:uid="{00000000-0005-0000-0000-0000D65D0000}"/>
    <cellStyle name="Normal 5 3 5 2 2 3" xfId="27596" xr:uid="{00000000-0005-0000-0000-0000D75D0000}"/>
    <cellStyle name="Normal 5 3 5 2 3" xfId="21824" xr:uid="{00000000-0005-0000-0000-0000D85D0000}"/>
    <cellStyle name="Normal 5 3 5 2 4" xfId="27595" xr:uid="{00000000-0005-0000-0000-0000D95D0000}"/>
    <cellStyle name="Normal 5 3 5 3" xfId="21826" xr:uid="{00000000-0005-0000-0000-0000DA5D0000}"/>
    <cellStyle name="Normal 5 3 5 4" xfId="21823" xr:uid="{00000000-0005-0000-0000-0000DB5D0000}"/>
    <cellStyle name="Normal 5 3 6" xfId="5535" xr:uid="{00000000-0005-0000-0000-0000DC5D0000}"/>
    <cellStyle name="Normal 5 3 6 2" xfId="6838" xr:uid="{00000000-0005-0000-0000-0000DD5D0000}"/>
    <cellStyle name="Normal 5 3 6 2 2" xfId="21828" xr:uid="{00000000-0005-0000-0000-0000DE5D0000}"/>
    <cellStyle name="Normal 5 3 6 2 3" xfId="27598" xr:uid="{00000000-0005-0000-0000-0000DF5D0000}"/>
    <cellStyle name="Normal 5 3 6 3" xfId="21827" xr:uid="{00000000-0005-0000-0000-0000E05D0000}"/>
    <cellStyle name="Normal 5 3 6 4" xfId="27597" xr:uid="{00000000-0005-0000-0000-0000E15D0000}"/>
    <cellStyle name="Normal 5 3 7" xfId="5845" xr:uid="{00000000-0005-0000-0000-0000E25D0000}"/>
    <cellStyle name="Normal 5 3 7 2" xfId="6839" xr:uid="{00000000-0005-0000-0000-0000E35D0000}"/>
    <cellStyle name="Normal 5 3 7 2 2" xfId="21830" xr:uid="{00000000-0005-0000-0000-0000E45D0000}"/>
    <cellStyle name="Normal 5 3 7 2 3" xfId="27600" xr:uid="{00000000-0005-0000-0000-0000E55D0000}"/>
    <cellStyle name="Normal 5 3 7 3" xfId="21829" xr:uid="{00000000-0005-0000-0000-0000E65D0000}"/>
    <cellStyle name="Normal 5 3 7 4" xfId="27599" xr:uid="{00000000-0005-0000-0000-0000E75D0000}"/>
    <cellStyle name="Normal 5 3 8" xfId="21831" xr:uid="{00000000-0005-0000-0000-0000E85D0000}"/>
    <cellStyle name="Normal 5 30" xfId="24857" xr:uid="{00000000-0005-0000-0000-0000E95D0000}"/>
    <cellStyle name="Normal 5 4" xfId="67" xr:uid="{00000000-0005-0000-0000-0000EA5D0000}"/>
    <cellStyle name="Normal 5 4 2" xfId="3765" xr:uid="{00000000-0005-0000-0000-0000EB5D0000}"/>
    <cellStyle name="Normal 5 4 2 10" xfId="27601" xr:uid="{00000000-0005-0000-0000-0000EC5D0000}"/>
    <cellStyle name="Normal 5 4 2 2" xfId="4213" xr:uid="{00000000-0005-0000-0000-0000ED5D0000}"/>
    <cellStyle name="Normal 5 4 2 2 2" xfId="4973" xr:uid="{00000000-0005-0000-0000-0000EE5D0000}"/>
    <cellStyle name="Normal 5 4 2 2 2 2" xfId="5546" xr:uid="{00000000-0005-0000-0000-0000EF5D0000}"/>
    <cellStyle name="Normal 5 4 2 2 2 2 2" xfId="6843" xr:uid="{00000000-0005-0000-0000-0000F05D0000}"/>
    <cellStyle name="Normal 5 4 2 2 2 2 2 2" xfId="21837" xr:uid="{00000000-0005-0000-0000-0000F15D0000}"/>
    <cellStyle name="Normal 5 4 2 2 2 2 2 3" xfId="27605" xr:uid="{00000000-0005-0000-0000-0000F25D0000}"/>
    <cellStyle name="Normal 5 4 2 2 2 2 3" xfId="21836" xr:uid="{00000000-0005-0000-0000-0000F35D0000}"/>
    <cellStyle name="Normal 5 4 2 2 2 2 4" xfId="27604" xr:uid="{00000000-0005-0000-0000-0000F45D0000}"/>
    <cellStyle name="Normal 5 4 2 2 2 3" xfId="5856" xr:uid="{00000000-0005-0000-0000-0000F55D0000}"/>
    <cellStyle name="Normal 5 4 2 2 2 3 2" xfId="6844" xr:uid="{00000000-0005-0000-0000-0000F65D0000}"/>
    <cellStyle name="Normal 5 4 2 2 2 3 2 2" xfId="21839" xr:uid="{00000000-0005-0000-0000-0000F75D0000}"/>
    <cellStyle name="Normal 5 4 2 2 2 3 2 3" xfId="27607" xr:uid="{00000000-0005-0000-0000-0000F85D0000}"/>
    <cellStyle name="Normal 5 4 2 2 2 3 3" xfId="21838" xr:uid="{00000000-0005-0000-0000-0000F95D0000}"/>
    <cellStyle name="Normal 5 4 2 2 2 3 4" xfId="27606" xr:uid="{00000000-0005-0000-0000-0000FA5D0000}"/>
    <cellStyle name="Normal 5 4 2 2 2 4" xfId="6842" xr:uid="{00000000-0005-0000-0000-0000FB5D0000}"/>
    <cellStyle name="Normal 5 4 2 2 2 4 2" xfId="21840" xr:uid="{00000000-0005-0000-0000-0000FC5D0000}"/>
    <cellStyle name="Normal 5 4 2 2 2 4 3" xfId="27608" xr:uid="{00000000-0005-0000-0000-0000FD5D0000}"/>
    <cellStyle name="Normal 5 4 2 2 2 5" xfId="21835" xr:uid="{00000000-0005-0000-0000-0000FE5D0000}"/>
    <cellStyle name="Normal 5 4 2 2 2 6" xfId="27603" xr:uid="{00000000-0005-0000-0000-0000FF5D0000}"/>
    <cellStyle name="Normal 5 4 2 2 3" xfId="5545" xr:uid="{00000000-0005-0000-0000-0000005E0000}"/>
    <cellStyle name="Normal 5 4 2 2 3 2" xfId="6845" xr:uid="{00000000-0005-0000-0000-0000015E0000}"/>
    <cellStyle name="Normal 5 4 2 2 3 2 2" xfId="21842" xr:uid="{00000000-0005-0000-0000-0000025E0000}"/>
    <cellStyle name="Normal 5 4 2 2 3 2 3" xfId="27610" xr:uid="{00000000-0005-0000-0000-0000035E0000}"/>
    <cellStyle name="Normal 5 4 2 2 3 3" xfId="21841" xr:uid="{00000000-0005-0000-0000-0000045E0000}"/>
    <cellStyle name="Normal 5 4 2 2 3 4" xfId="27609" xr:uid="{00000000-0005-0000-0000-0000055E0000}"/>
    <cellStyle name="Normal 5 4 2 2 4" xfId="5855" xr:uid="{00000000-0005-0000-0000-0000065E0000}"/>
    <cellStyle name="Normal 5 4 2 2 4 2" xfId="6846" xr:uid="{00000000-0005-0000-0000-0000075E0000}"/>
    <cellStyle name="Normal 5 4 2 2 4 2 2" xfId="21844" xr:uid="{00000000-0005-0000-0000-0000085E0000}"/>
    <cellStyle name="Normal 5 4 2 2 4 2 3" xfId="27612" xr:uid="{00000000-0005-0000-0000-0000095E0000}"/>
    <cellStyle name="Normal 5 4 2 2 4 3" xfId="21843" xr:uid="{00000000-0005-0000-0000-00000A5E0000}"/>
    <cellStyle name="Normal 5 4 2 2 4 4" xfId="27611" xr:uid="{00000000-0005-0000-0000-00000B5E0000}"/>
    <cellStyle name="Normal 5 4 2 2 5" xfId="4972" xr:uid="{00000000-0005-0000-0000-00000C5E0000}"/>
    <cellStyle name="Normal 5 4 2 2 5 2" xfId="6847" xr:uid="{00000000-0005-0000-0000-00000D5E0000}"/>
    <cellStyle name="Normal 5 4 2 2 5 2 2" xfId="27614" xr:uid="{00000000-0005-0000-0000-00000E5E0000}"/>
    <cellStyle name="Normal 5 4 2 2 5 3" xfId="21845" xr:uid="{00000000-0005-0000-0000-00000F5E0000}"/>
    <cellStyle name="Normal 5 4 2 2 5 4" xfId="27613" xr:uid="{00000000-0005-0000-0000-0000105E0000}"/>
    <cellStyle name="Normal 5 4 2 2 6" xfId="6841" xr:uid="{00000000-0005-0000-0000-0000115E0000}"/>
    <cellStyle name="Normal 5 4 2 2 6 2" xfId="27615" xr:uid="{00000000-0005-0000-0000-0000125E0000}"/>
    <cellStyle name="Normal 5 4 2 2 7" xfId="21834" xr:uid="{00000000-0005-0000-0000-0000135E0000}"/>
    <cellStyle name="Normal 5 4 2 2 8" xfId="25065" xr:uid="{00000000-0005-0000-0000-0000145E0000}"/>
    <cellStyle name="Normal 5 4 2 2 9" xfId="27602" xr:uid="{00000000-0005-0000-0000-0000155E0000}"/>
    <cellStyle name="Normal 5 4 2 3" xfId="4974" xr:uid="{00000000-0005-0000-0000-0000165E0000}"/>
    <cellStyle name="Normal 5 4 2 3 2" xfId="5547" xr:uid="{00000000-0005-0000-0000-0000175E0000}"/>
    <cellStyle name="Normal 5 4 2 3 2 2" xfId="6849" xr:uid="{00000000-0005-0000-0000-0000185E0000}"/>
    <cellStyle name="Normal 5 4 2 3 2 2 2" xfId="21848" xr:uid="{00000000-0005-0000-0000-0000195E0000}"/>
    <cellStyle name="Normal 5 4 2 3 2 2 3" xfId="27618" xr:uid="{00000000-0005-0000-0000-00001A5E0000}"/>
    <cellStyle name="Normal 5 4 2 3 2 3" xfId="21847" xr:uid="{00000000-0005-0000-0000-00001B5E0000}"/>
    <cellStyle name="Normal 5 4 2 3 2 4" xfId="27617" xr:uid="{00000000-0005-0000-0000-00001C5E0000}"/>
    <cellStyle name="Normal 5 4 2 3 3" xfId="5857" xr:uid="{00000000-0005-0000-0000-00001D5E0000}"/>
    <cellStyle name="Normal 5 4 2 3 3 2" xfId="6850" xr:uid="{00000000-0005-0000-0000-00001E5E0000}"/>
    <cellStyle name="Normal 5 4 2 3 3 2 2" xfId="21850" xr:uid="{00000000-0005-0000-0000-00001F5E0000}"/>
    <cellStyle name="Normal 5 4 2 3 3 2 3" xfId="27620" xr:uid="{00000000-0005-0000-0000-0000205E0000}"/>
    <cellStyle name="Normal 5 4 2 3 3 3" xfId="21849" xr:uid="{00000000-0005-0000-0000-0000215E0000}"/>
    <cellStyle name="Normal 5 4 2 3 3 4" xfId="27619" xr:uid="{00000000-0005-0000-0000-0000225E0000}"/>
    <cellStyle name="Normal 5 4 2 3 4" xfId="6848" xr:uid="{00000000-0005-0000-0000-0000235E0000}"/>
    <cellStyle name="Normal 5 4 2 3 4 2" xfId="21851" xr:uid="{00000000-0005-0000-0000-0000245E0000}"/>
    <cellStyle name="Normal 5 4 2 3 4 3" xfId="27621" xr:uid="{00000000-0005-0000-0000-0000255E0000}"/>
    <cellStyle name="Normal 5 4 2 3 5" xfId="21846" xr:uid="{00000000-0005-0000-0000-0000265E0000}"/>
    <cellStyle name="Normal 5 4 2 3 6" xfId="27616" xr:uid="{00000000-0005-0000-0000-0000275E0000}"/>
    <cellStyle name="Normal 5 4 2 4" xfId="5544" xr:uid="{00000000-0005-0000-0000-0000285E0000}"/>
    <cellStyle name="Normal 5 4 2 4 2" xfId="6851" xr:uid="{00000000-0005-0000-0000-0000295E0000}"/>
    <cellStyle name="Normal 5 4 2 4 2 2" xfId="21853" xr:uid="{00000000-0005-0000-0000-00002A5E0000}"/>
    <cellStyle name="Normal 5 4 2 4 2 3" xfId="27623" xr:uid="{00000000-0005-0000-0000-00002B5E0000}"/>
    <cellStyle name="Normal 5 4 2 4 3" xfId="21852" xr:uid="{00000000-0005-0000-0000-00002C5E0000}"/>
    <cellStyle name="Normal 5 4 2 4 4" xfId="27622" xr:uid="{00000000-0005-0000-0000-00002D5E0000}"/>
    <cellStyle name="Normal 5 4 2 5" xfId="5854" xr:uid="{00000000-0005-0000-0000-00002E5E0000}"/>
    <cellStyle name="Normal 5 4 2 5 2" xfId="6852" xr:uid="{00000000-0005-0000-0000-00002F5E0000}"/>
    <cellStyle name="Normal 5 4 2 5 2 2" xfId="21855" xr:uid="{00000000-0005-0000-0000-0000305E0000}"/>
    <cellStyle name="Normal 5 4 2 5 2 3" xfId="27625" xr:uid="{00000000-0005-0000-0000-0000315E0000}"/>
    <cellStyle name="Normal 5 4 2 5 3" xfId="21854" xr:uid="{00000000-0005-0000-0000-0000325E0000}"/>
    <cellStyle name="Normal 5 4 2 5 4" xfId="27624" xr:uid="{00000000-0005-0000-0000-0000335E0000}"/>
    <cellStyle name="Normal 5 4 2 6" xfId="4971" xr:uid="{00000000-0005-0000-0000-0000345E0000}"/>
    <cellStyle name="Normal 5 4 2 6 2" xfId="6853" xr:uid="{00000000-0005-0000-0000-0000355E0000}"/>
    <cellStyle name="Normal 5 4 2 6 2 2" xfId="27627" xr:uid="{00000000-0005-0000-0000-0000365E0000}"/>
    <cellStyle name="Normal 5 4 2 6 3" xfId="21856" xr:uid="{00000000-0005-0000-0000-0000375E0000}"/>
    <cellStyle name="Normal 5 4 2 6 4" xfId="27626" xr:uid="{00000000-0005-0000-0000-0000385E0000}"/>
    <cellStyle name="Normal 5 4 2 7" xfId="6840" xr:uid="{00000000-0005-0000-0000-0000395E0000}"/>
    <cellStyle name="Normal 5 4 2 7 2" xfId="27628" xr:uid="{00000000-0005-0000-0000-00003A5E0000}"/>
    <cellStyle name="Normal 5 4 2 8" xfId="21833" xr:uid="{00000000-0005-0000-0000-00003B5E0000}"/>
    <cellStyle name="Normal 5 4 2 9" xfId="24945" xr:uid="{00000000-0005-0000-0000-00003C5E0000}"/>
    <cellStyle name="Normal 5 4 3" xfId="1571" xr:uid="{00000000-0005-0000-0000-00003D5E0000}"/>
    <cellStyle name="Normal 5 4 3 2" xfId="4192" xr:uid="{00000000-0005-0000-0000-00003E5E0000}"/>
    <cellStyle name="Normal 5 4 3 2 2" xfId="5549" xr:uid="{00000000-0005-0000-0000-00003F5E0000}"/>
    <cellStyle name="Normal 5 4 3 2 2 2" xfId="6856" xr:uid="{00000000-0005-0000-0000-0000405E0000}"/>
    <cellStyle name="Normal 5 4 3 2 2 2 2" xfId="21860" xr:uid="{00000000-0005-0000-0000-0000415E0000}"/>
    <cellStyle name="Normal 5 4 3 2 2 2 3" xfId="27632" xr:uid="{00000000-0005-0000-0000-0000425E0000}"/>
    <cellStyle name="Normal 5 4 3 2 2 3" xfId="21859" xr:uid="{00000000-0005-0000-0000-0000435E0000}"/>
    <cellStyle name="Normal 5 4 3 2 2 4" xfId="27631" xr:uid="{00000000-0005-0000-0000-0000445E0000}"/>
    <cellStyle name="Normal 5 4 3 2 3" xfId="5859" xr:uid="{00000000-0005-0000-0000-0000455E0000}"/>
    <cellStyle name="Normal 5 4 3 2 3 2" xfId="6857" xr:uid="{00000000-0005-0000-0000-0000465E0000}"/>
    <cellStyle name="Normal 5 4 3 2 3 2 2" xfId="21862" xr:uid="{00000000-0005-0000-0000-0000475E0000}"/>
    <cellStyle name="Normal 5 4 3 2 3 2 3" xfId="27634" xr:uid="{00000000-0005-0000-0000-0000485E0000}"/>
    <cellStyle name="Normal 5 4 3 2 3 3" xfId="21861" xr:uid="{00000000-0005-0000-0000-0000495E0000}"/>
    <cellStyle name="Normal 5 4 3 2 3 4" xfId="27633" xr:uid="{00000000-0005-0000-0000-00004A5E0000}"/>
    <cellStyle name="Normal 5 4 3 2 4" xfId="4976" xr:uid="{00000000-0005-0000-0000-00004B5E0000}"/>
    <cellStyle name="Normal 5 4 3 2 4 2" xfId="6858" xr:uid="{00000000-0005-0000-0000-00004C5E0000}"/>
    <cellStyle name="Normal 5 4 3 2 4 2 2" xfId="27636" xr:uid="{00000000-0005-0000-0000-00004D5E0000}"/>
    <cellStyle name="Normal 5 4 3 2 4 3" xfId="21863" xr:uid="{00000000-0005-0000-0000-00004E5E0000}"/>
    <cellStyle name="Normal 5 4 3 2 4 4" xfId="27635" xr:uid="{00000000-0005-0000-0000-00004F5E0000}"/>
    <cellStyle name="Normal 5 4 3 2 5" xfId="6855" xr:uid="{00000000-0005-0000-0000-0000505E0000}"/>
    <cellStyle name="Normal 5 4 3 2 5 2" xfId="27637" xr:uid="{00000000-0005-0000-0000-0000515E0000}"/>
    <cellStyle name="Normal 5 4 3 2 6" xfId="21858" xr:uid="{00000000-0005-0000-0000-0000525E0000}"/>
    <cellStyle name="Normal 5 4 3 2 7" xfId="25044" xr:uid="{00000000-0005-0000-0000-0000535E0000}"/>
    <cellStyle name="Normal 5 4 3 2 8" xfId="27630" xr:uid="{00000000-0005-0000-0000-0000545E0000}"/>
    <cellStyle name="Normal 5 4 3 3" xfId="5548" xr:uid="{00000000-0005-0000-0000-0000555E0000}"/>
    <cellStyle name="Normal 5 4 3 3 2" xfId="6859" xr:uid="{00000000-0005-0000-0000-0000565E0000}"/>
    <cellStyle name="Normal 5 4 3 3 2 2" xfId="21865" xr:uid="{00000000-0005-0000-0000-0000575E0000}"/>
    <cellStyle name="Normal 5 4 3 3 2 3" xfId="27639" xr:uid="{00000000-0005-0000-0000-0000585E0000}"/>
    <cellStyle name="Normal 5 4 3 3 3" xfId="21864" xr:uid="{00000000-0005-0000-0000-0000595E0000}"/>
    <cellStyle name="Normal 5 4 3 3 4" xfId="27638" xr:uid="{00000000-0005-0000-0000-00005A5E0000}"/>
    <cellStyle name="Normal 5 4 3 4" xfId="5858" xr:uid="{00000000-0005-0000-0000-00005B5E0000}"/>
    <cellStyle name="Normal 5 4 3 4 2" xfId="6860" xr:uid="{00000000-0005-0000-0000-00005C5E0000}"/>
    <cellStyle name="Normal 5 4 3 4 2 2" xfId="21867" xr:uid="{00000000-0005-0000-0000-00005D5E0000}"/>
    <cellStyle name="Normal 5 4 3 4 2 3" xfId="27641" xr:uid="{00000000-0005-0000-0000-00005E5E0000}"/>
    <cellStyle name="Normal 5 4 3 4 3" xfId="21866" xr:uid="{00000000-0005-0000-0000-00005F5E0000}"/>
    <cellStyle name="Normal 5 4 3 4 4" xfId="27640" xr:uid="{00000000-0005-0000-0000-0000605E0000}"/>
    <cellStyle name="Normal 5 4 3 5" xfId="4975" xr:uid="{00000000-0005-0000-0000-0000615E0000}"/>
    <cellStyle name="Normal 5 4 3 5 2" xfId="6861" xr:uid="{00000000-0005-0000-0000-0000625E0000}"/>
    <cellStyle name="Normal 5 4 3 5 2 2" xfId="27643" xr:uid="{00000000-0005-0000-0000-0000635E0000}"/>
    <cellStyle name="Normal 5 4 3 5 3" xfId="21868" xr:uid="{00000000-0005-0000-0000-0000645E0000}"/>
    <cellStyle name="Normal 5 4 3 5 4" xfId="27642" xr:uid="{00000000-0005-0000-0000-0000655E0000}"/>
    <cellStyle name="Normal 5 4 3 6" xfId="6854" xr:uid="{00000000-0005-0000-0000-0000665E0000}"/>
    <cellStyle name="Normal 5 4 3 6 2" xfId="27644" xr:uid="{00000000-0005-0000-0000-0000675E0000}"/>
    <cellStyle name="Normal 5 4 3 7" xfId="21857" xr:uid="{00000000-0005-0000-0000-0000685E0000}"/>
    <cellStyle name="Normal 5 4 3 8" xfId="24924" xr:uid="{00000000-0005-0000-0000-0000695E0000}"/>
    <cellStyle name="Normal 5 4 3 9" xfId="27629" xr:uid="{00000000-0005-0000-0000-00006A5E0000}"/>
    <cellStyle name="Normal 5 4 4" xfId="3914" xr:uid="{00000000-0005-0000-0000-00006B5E0000}"/>
    <cellStyle name="Normal 5 4 4 2" xfId="5550" xr:uid="{00000000-0005-0000-0000-00006C5E0000}"/>
    <cellStyle name="Normal 5 4 4 2 2" xfId="6862" xr:uid="{00000000-0005-0000-0000-00006D5E0000}"/>
    <cellStyle name="Normal 5 4 4 2 2 2" xfId="21871" xr:uid="{00000000-0005-0000-0000-00006E5E0000}"/>
    <cellStyle name="Normal 5 4 4 2 2 3" xfId="27646" xr:uid="{00000000-0005-0000-0000-00006F5E0000}"/>
    <cellStyle name="Normal 5 4 4 2 3" xfId="21870" xr:uid="{00000000-0005-0000-0000-0000705E0000}"/>
    <cellStyle name="Normal 5 4 4 2 4" xfId="27645" xr:uid="{00000000-0005-0000-0000-0000715E0000}"/>
    <cellStyle name="Normal 5 4 4 3" xfId="5860" xr:uid="{00000000-0005-0000-0000-0000725E0000}"/>
    <cellStyle name="Normal 5 4 4 3 2" xfId="6863" xr:uid="{00000000-0005-0000-0000-0000735E0000}"/>
    <cellStyle name="Normal 5 4 4 3 2 2" xfId="21873" xr:uid="{00000000-0005-0000-0000-0000745E0000}"/>
    <cellStyle name="Normal 5 4 4 3 2 3" xfId="27648" xr:uid="{00000000-0005-0000-0000-0000755E0000}"/>
    <cellStyle name="Normal 5 4 4 3 3" xfId="21872" xr:uid="{00000000-0005-0000-0000-0000765E0000}"/>
    <cellStyle name="Normal 5 4 4 3 4" xfId="27647" xr:uid="{00000000-0005-0000-0000-0000775E0000}"/>
    <cellStyle name="Normal 5 4 4 4" xfId="4977" xr:uid="{00000000-0005-0000-0000-0000785E0000}"/>
    <cellStyle name="Normal 5 4 4 4 2" xfId="6864" xr:uid="{00000000-0005-0000-0000-0000795E0000}"/>
    <cellStyle name="Normal 5 4 4 4 2 2" xfId="27650" xr:uid="{00000000-0005-0000-0000-00007A5E0000}"/>
    <cellStyle name="Normal 5 4 4 4 3" xfId="21874" xr:uid="{00000000-0005-0000-0000-00007B5E0000}"/>
    <cellStyle name="Normal 5 4 4 4 4" xfId="27649" xr:uid="{00000000-0005-0000-0000-00007C5E0000}"/>
    <cellStyle name="Normal 5 4 4 5" xfId="21869" xr:uid="{00000000-0005-0000-0000-00007D5E0000}"/>
    <cellStyle name="Normal 5 4 5" xfId="1045" xr:uid="{00000000-0005-0000-0000-00007E5E0000}"/>
    <cellStyle name="Normal 5 4 5 2" xfId="5543" xr:uid="{00000000-0005-0000-0000-00007F5E0000}"/>
    <cellStyle name="Normal 5 4 5 2 2" xfId="6865" xr:uid="{00000000-0005-0000-0000-0000805E0000}"/>
    <cellStyle name="Normal 5 4 5 2 2 2" xfId="27652" xr:uid="{00000000-0005-0000-0000-0000815E0000}"/>
    <cellStyle name="Normal 5 4 5 2 3" xfId="21876" xr:uid="{00000000-0005-0000-0000-0000825E0000}"/>
    <cellStyle name="Normal 5 4 5 2 4" xfId="27651" xr:uid="{00000000-0005-0000-0000-0000835E0000}"/>
    <cellStyle name="Normal 5 4 5 3" xfId="21875" xr:uid="{00000000-0005-0000-0000-0000845E0000}"/>
    <cellStyle name="Normal 5 4 6" xfId="5853" xr:uid="{00000000-0005-0000-0000-0000855E0000}"/>
    <cellStyle name="Normal 5 4 6 2" xfId="6866" xr:uid="{00000000-0005-0000-0000-0000865E0000}"/>
    <cellStyle name="Normal 5 4 6 2 2" xfId="21878" xr:uid="{00000000-0005-0000-0000-0000875E0000}"/>
    <cellStyle name="Normal 5 4 6 2 3" xfId="27654" xr:uid="{00000000-0005-0000-0000-0000885E0000}"/>
    <cellStyle name="Normal 5 4 6 3" xfId="21877" xr:uid="{00000000-0005-0000-0000-0000895E0000}"/>
    <cellStyle name="Normal 5 4 6 4" xfId="27653" xr:uid="{00000000-0005-0000-0000-00008A5E0000}"/>
    <cellStyle name="Normal 5 4 7" xfId="4970" xr:uid="{00000000-0005-0000-0000-00008B5E0000}"/>
    <cellStyle name="Normal 5 4 7 2" xfId="6867" xr:uid="{00000000-0005-0000-0000-00008C5E0000}"/>
    <cellStyle name="Normal 5 4 7 2 2" xfId="27656" xr:uid="{00000000-0005-0000-0000-00008D5E0000}"/>
    <cellStyle name="Normal 5 4 7 3" xfId="21879" xr:uid="{00000000-0005-0000-0000-00008E5E0000}"/>
    <cellStyle name="Normal 5 4 7 4" xfId="27655" xr:uid="{00000000-0005-0000-0000-00008F5E0000}"/>
    <cellStyle name="Normal 5 4 8" xfId="21832" xr:uid="{00000000-0005-0000-0000-0000905E0000}"/>
    <cellStyle name="Normal 5 5" xfId="1052" xr:uid="{00000000-0005-0000-0000-0000915E0000}"/>
    <cellStyle name="Normal 5 5 2" xfId="3809" xr:uid="{00000000-0005-0000-0000-0000925E0000}"/>
    <cellStyle name="Normal 5 5 2 10" xfId="27657" xr:uid="{00000000-0005-0000-0000-0000935E0000}"/>
    <cellStyle name="Normal 5 5 2 2" xfId="4216" xr:uid="{00000000-0005-0000-0000-0000945E0000}"/>
    <cellStyle name="Normal 5 5 2 2 2" xfId="4980" xr:uid="{00000000-0005-0000-0000-0000955E0000}"/>
    <cellStyle name="Normal 5 5 2 2 2 2" xfId="5553" xr:uid="{00000000-0005-0000-0000-0000965E0000}"/>
    <cellStyle name="Normal 5 5 2 2 2 2 2" xfId="6871" xr:uid="{00000000-0005-0000-0000-0000975E0000}"/>
    <cellStyle name="Normal 5 5 2 2 2 2 2 2" xfId="21884" xr:uid="{00000000-0005-0000-0000-0000985E0000}"/>
    <cellStyle name="Normal 5 5 2 2 2 2 2 3" xfId="27661" xr:uid="{00000000-0005-0000-0000-0000995E0000}"/>
    <cellStyle name="Normal 5 5 2 2 2 2 3" xfId="21883" xr:uid="{00000000-0005-0000-0000-00009A5E0000}"/>
    <cellStyle name="Normal 5 5 2 2 2 2 4" xfId="27660" xr:uid="{00000000-0005-0000-0000-00009B5E0000}"/>
    <cellStyle name="Normal 5 5 2 2 2 3" xfId="5863" xr:uid="{00000000-0005-0000-0000-00009C5E0000}"/>
    <cellStyle name="Normal 5 5 2 2 2 3 2" xfId="6872" xr:uid="{00000000-0005-0000-0000-00009D5E0000}"/>
    <cellStyle name="Normal 5 5 2 2 2 3 2 2" xfId="21886" xr:uid="{00000000-0005-0000-0000-00009E5E0000}"/>
    <cellStyle name="Normal 5 5 2 2 2 3 2 3" xfId="27663" xr:uid="{00000000-0005-0000-0000-00009F5E0000}"/>
    <cellStyle name="Normal 5 5 2 2 2 3 3" xfId="21885" xr:uid="{00000000-0005-0000-0000-0000A05E0000}"/>
    <cellStyle name="Normal 5 5 2 2 2 3 4" xfId="27662" xr:uid="{00000000-0005-0000-0000-0000A15E0000}"/>
    <cellStyle name="Normal 5 5 2 2 2 4" xfId="6870" xr:uid="{00000000-0005-0000-0000-0000A25E0000}"/>
    <cellStyle name="Normal 5 5 2 2 2 4 2" xfId="21887" xr:uid="{00000000-0005-0000-0000-0000A35E0000}"/>
    <cellStyle name="Normal 5 5 2 2 2 4 3" xfId="27664" xr:uid="{00000000-0005-0000-0000-0000A45E0000}"/>
    <cellStyle name="Normal 5 5 2 2 2 5" xfId="21882" xr:uid="{00000000-0005-0000-0000-0000A55E0000}"/>
    <cellStyle name="Normal 5 5 2 2 2 6" xfId="27659" xr:uid="{00000000-0005-0000-0000-0000A65E0000}"/>
    <cellStyle name="Normal 5 5 2 2 3" xfId="5552" xr:uid="{00000000-0005-0000-0000-0000A75E0000}"/>
    <cellStyle name="Normal 5 5 2 2 3 2" xfId="6873" xr:uid="{00000000-0005-0000-0000-0000A85E0000}"/>
    <cellStyle name="Normal 5 5 2 2 3 2 2" xfId="21889" xr:uid="{00000000-0005-0000-0000-0000A95E0000}"/>
    <cellStyle name="Normal 5 5 2 2 3 2 3" xfId="27666" xr:uid="{00000000-0005-0000-0000-0000AA5E0000}"/>
    <cellStyle name="Normal 5 5 2 2 3 3" xfId="21888" xr:uid="{00000000-0005-0000-0000-0000AB5E0000}"/>
    <cellStyle name="Normal 5 5 2 2 3 4" xfId="27665" xr:uid="{00000000-0005-0000-0000-0000AC5E0000}"/>
    <cellStyle name="Normal 5 5 2 2 4" xfId="5862" xr:uid="{00000000-0005-0000-0000-0000AD5E0000}"/>
    <cellStyle name="Normal 5 5 2 2 4 2" xfId="6874" xr:uid="{00000000-0005-0000-0000-0000AE5E0000}"/>
    <cellStyle name="Normal 5 5 2 2 4 2 2" xfId="21891" xr:uid="{00000000-0005-0000-0000-0000AF5E0000}"/>
    <cellStyle name="Normal 5 5 2 2 4 2 3" xfId="27668" xr:uid="{00000000-0005-0000-0000-0000B05E0000}"/>
    <cellStyle name="Normal 5 5 2 2 4 3" xfId="21890" xr:uid="{00000000-0005-0000-0000-0000B15E0000}"/>
    <cellStyle name="Normal 5 5 2 2 4 4" xfId="27667" xr:uid="{00000000-0005-0000-0000-0000B25E0000}"/>
    <cellStyle name="Normal 5 5 2 2 5" xfId="4979" xr:uid="{00000000-0005-0000-0000-0000B35E0000}"/>
    <cellStyle name="Normal 5 5 2 2 5 2" xfId="6875" xr:uid="{00000000-0005-0000-0000-0000B45E0000}"/>
    <cellStyle name="Normal 5 5 2 2 5 2 2" xfId="27670" xr:uid="{00000000-0005-0000-0000-0000B55E0000}"/>
    <cellStyle name="Normal 5 5 2 2 5 3" xfId="21892" xr:uid="{00000000-0005-0000-0000-0000B65E0000}"/>
    <cellStyle name="Normal 5 5 2 2 5 4" xfId="27669" xr:uid="{00000000-0005-0000-0000-0000B75E0000}"/>
    <cellStyle name="Normal 5 5 2 2 6" xfId="6869" xr:uid="{00000000-0005-0000-0000-0000B85E0000}"/>
    <cellStyle name="Normal 5 5 2 2 6 2" xfId="27671" xr:uid="{00000000-0005-0000-0000-0000B95E0000}"/>
    <cellStyle name="Normal 5 5 2 2 7" xfId="21881" xr:uid="{00000000-0005-0000-0000-0000BA5E0000}"/>
    <cellStyle name="Normal 5 5 2 2 8" xfId="25068" xr:uid="{00000000-0005-0000-0000-0000BB5E0000}"/>
    <cellStyle name="Normal 5 5 2 2 9" xfId="27658" xr:uid="{00000000-0005-0000-0000-0000BC5E0000}"/>
    <cellStyle name="Normal 5 5 2 3" xfId="4981" xr:uid="{00000000-0005-0000-0000-0000BD5E0000}"/>
    <cellStyle name="Normal 5 5 2 3 2" xfId="5554" xr:uid="{00000000-0005-0000-0000-0000BE5E0000}"/>
    <cellStyle name="Normal 5 5 2 3 2 2" xfId="6877" xr:uid="{00000000-0005-0000-0000-0000BF5E0000}"/>
    <cellStyle name="Normal 5 5 2 3 2 2 2" xfId="21895" xr:uid="{00000000-0005-0000-0000-0000C05E0000}"/>
    <cellStyle name="Normal 5 5 2 3 2 2 3" xfId="27674" xr:uid="{00000000-0005-0000-0000-0000C15E0000}"/>
    <cellStyle name="Normal 5 5 2 3 2 3" xfId="21894" xr:uid="{00000000-0005-0000-0000-0000C25E0000}"/>
    <cellStyle name="Normal 5 5 2 3 2 4" xfId="27673" xr:uid="{00000000-0005-0000-0000-0000C35E0000}"/>
    <cellStyle name="Normal 5 5 2 3 3" xfId="5864" xr:uid="{00000000-0005-0000-0000-0000C45E0000}"/>
    <cellStyle name="Normal 5 5 2 3 3 2" xfId="6878" xr:uid="{00000000-0005-0000-0000-0000C55E0000}"/>
    <cellStyle name="Normal 5 5 2 3 3 2 2" xfId="21897" xr:uid="{00000000-0005-0000-0000-0000C65E0000}"/>
    <cellStyle name="Normal 5 5 2 3 3 2 3" xfId="27676" xr:uid="{00000000-0005-0000-0000-0000C75E0000}"/>
    <cellStyle name="Normal 5 5 2 3 3 3" xfId="21896" xr:uid="{00000000-0005-0000-0000-0000C85E0000}"/>
    <cellStyle name="Normal 5 5 2 3 3 4" xfId="27675" xr:uid="{00000000-0005-0000-0000-0000C95E0000}"/>
    <cellStyle name="Normal 5 5 2 3 4" xfId="6876" xr:uid="{00000000-0005-0000-0000-0000CA5E0000}"/>
    <cellStyle name="Normal 5 5 2 3 4 2" xfId="21898" xr:uid="{00000000-0005-0000-0000-0000CB5E0000}"/>
    <cellStyle name="Normal 5 5 2 3 4 3" xfId="27677" xr:uid="{00000000-0005-0000-0000-0000CC5E0000}"/>
    <cellStyle name="Normal 5 5 2 3 5" xfId="21893" xr:uid="{00000000-0005-0000-0000-0000CD5E0000}"/>
    <cellStyle name="Normal 5 5 2 3 6" xfId="27672" xr:uid="{00000000-0005-0000-0000-0000CE5E0000}"/>
    <cellStyle name="Normal 5 5 2 4" xfId="5551" xr:uid="{00000000-0005-0000-0000-0000CF5E0000}"/>
    <cellStyle name="Normal 5 5 2 4 2" xfId="6879" xr:uid="{00000000-0005-0000-0000-0000D05E0000}"/>
    <cellStyle name="Normal 5 5 2 4 2 2" xfId="21900" xr:uid="{00000000-0005-0000-0000-0000D15E0000}"/>
    <cellStyle name="Normal 5 5 2 4 2 3" xfId="27679" xr:uid="{00000000-0005-0000-0000-0000D25E0000}"/>
    <cellStyle name="Normal 5 5 2 4 3" xfId="21899" xr:uid="{00000000-0005-0000-0000-0000D35E0000}"/>
    <cellStyle name="Normal 5 5 2 4 4" xfId="27678" xr:uid="{00000000-0005-0000-0000-0000D45E0000}"/>
    <cellStyle name="Normal 5 5 2 5" xfId="5861" xr:uid="{00000000-0005-0000-0000-0000D55E0000}"/>
    <cellStyle name="Normal 5 5 2 5 2" xfId="6880" xr:uid="{00000000-0005-0000-0000-0000D65E0000}"/>
    <cellStyle name="Normal 5 5 2 5 2 2" xfId="21902" xr:uid="{00000000-0005-0000-0000-0000D75E0000}"/>
    <cellStyle name="Normal 5 5 2 5 2 3" xfId="27681" xr:uid="{00000000-0005-0000-0000-0000D85E0000}"/>
    <cellStyle name="Normal 5 5 2 5 3" xfId="21901" xr:uid="{00000000-0005-0000-0000-0000D95E0000}"/>
    <cellStyle name="Normal 5 5 2 5 4" xfId="27680" xr:uid="{00000000-0005-0000-0000-0000DA5E0000}"/>
    <cellStyle name="Normal 5 5 2 6" xfId="4978" xr:uid="{00000000-0005-0000-0000-0000DB5E0000}"/>
    <cellStyle name="Normal 5 5 2 6 2" xfId="6881" xr:uid="{00000000-0005-0000-0000-0000DC5E0000}"/>
    <cellStyle name="Normal 5 5 2 6 2 2" xfId="27683" xr:uid="{00000000-0005-0000-0000-0000DD5E0000}"/>
    <cellStyle name="Normal 5 5 2 6 3" xfId="21903" xr:uid="{00000000-0005-0000-0000-0000DE5E0000}"/>
    <cellStyle name="Normal 5 5 2 6 4" xfId="27682" xr:uid="{00000000-0005-0000-0000-0000DF5E0000}"/>
    <cellStyle name="Normal 5 5 2 7" xfId="6868" xr:uid="{00000000-0005-0000-0000-0000E05E0000}"/>
    <cellStyle name="Normal 5 5 2 7 2" xfId="27684" xr:uid="{00000000-0005-0000-0000-0000E15E0000}"/>
    <cellStyle name="Normal 5 5 2 8" xfId="21880" xr:uid="{00000000-0005-0000-0000-0000E25E0000}"/>
    <cellStyle name="Normal 5 5 2 9" xfId="24948" xr:uid="{00000000-0005-0000-0000-0000E35E0000}"/>
    <cellStyle name="Normal 5 5 3" xfId="1660" xr:uid="{00000000-0005-0000-0000-0000E45E0000}"/>
    <cellStyle name="Normal 5 5 4" xfId="3922" xr:uid="{00000000-0005-0000-0000-0000E55E0000}"/>
    <cellStyle name="Normal 5 6" xfId="1062" xr:uid="{00000000-0005-0000-0000-0000E65E0000}"/>
    <cellStyle name="Normal 5 6 2" xfId="3814" xr:uid="{00000000-0005-0000-0000-0000E75E0000}"/>
    <cellStyle name="Normal 5 6 2 10" xfId="27685" xr:uid="{00000000-0005-0000-0000-0000E85E0000}"/>
    <cellStyle name="Normal 5 6 2 2" xfId="4219" xr:uid="{00000000-0005-0000-0000-0000E95E0000}"/>
    <cellStyle name="Normal 5 6 2 2 2" xfId="4984" xr:uid="{00000000-0005-0000-0000-0000EA5E0000}"/>
    <cellStyle name="Normal 5 6 2 2 2 2" xfId="5557" xr:uid="{00000000-0005-0000-0000-0000EB5E0000}"/>
    <cellStyle name="Normal 5 6 2 2 2 2 2" xfId="6885" xr:uid="{00000000-0005-0000-0000-0000EC5E0000}"/>
    <cellStyle name="Normal 5 6 2 2 2 2 2 2" xfId="21908" xr:uid="{00000000-0005-0000-0000-0000ED5E0000}"/>
    <cellStyle name="Normal 5 6 2 2 2 2 2 3" xfId="27689" xr:uid="{00000000-0005-0000-0000-0000EE5E0000}"/>
    <cellStyle name="Normal 5 6 2 2 2 2 3" xfId="21907" xr:uid="{00000000-0005-0000-0000-0000EF5E0000}"/>
    <cellStyle name="Normal 5 6 2 2 2 2 4" xfId="27688" xr:uid="{00000000-0005-0000-0000-0000F05E0000}"/>
    <cellStyle name="Normal 5 6 2 2 2 3" xfId="5867" xr:uid="{00000000-0005-0000-0000-0000F15E0000}"/>
    <cellStyle name="Normal 5 6 2 2 2 3 2" xfId="6886" xr:uid="{00000000-0005-0000-0000-0000F25E0000}"/>
    <cellStyle name="Normal 5 6 2 2 2 3 2 2" xfId="21910" xr:uid="{00000000-0005-0000-0000-0000F35E0000}"/>
    <cellStyle name="Normal 5 6 2 2 2 3 2 3" xfId="27691" xr:uid="{00000000-0005-0000-0000-0000F45E0000}"/>
    <cellStyle name="Normal 5 6 2 2 2 3 3" xfId="21909" xr:uid="{00000000-0005-0000-0000-0000F55E0000}"/>
    <cellStyle name="Normal 5 6 2 2 2 3 4" xfId="27690" xr:uid="{00000000-0005-0000-0000-0000F65E0000}"/>
    <cellStyle name="Normal 5 6 2 2 2 4" xfId="6884" xr:uid="{00000000-0005-0000-0000-0000F75E0000}"/>
    <cellStyle name="Normal 5 6 2 2 2 4 2" xfId="21911" xr:uid="{00000000-0005-0000-0000-0000F85E0000}"/>
    <cellStyle name="Normal 5 6 2 2 2 4 3" xfId="27692" xr:uid="{00000000-0005-0000-0000-0000F95E0000}"/>
    <cellStyle name="Normal 5 6 2 2 2 5" xfId="21906" xr:uid="{00000000-0005-0000-0000-0000FA5E0000}"/>
    <cellStyle name="Normal 5 6 2 2 2 6" xfId="27687" xr:uid="{00000000-0005-0000-0000-0000FB5E0000}"/>
    <cellStyle name="Normal 5 6 2 2 3" xfId="5556" xr:uid="{00000000-0005-0000-0000-0000FC5E0000}"/>
    <cellStyle name="Normal 5 6 2 2 3 2" xfId="6887" xr:uid="{00000000-0005-0000-0000-0000FD5E0000}"/>
    <cellStyle name="Normal 5 6 2 2 3 2 2" xfId="21913" xr:uid="{00000000-0005-0000-0000-0000FE5E0000}"/>
    <cellStyle name="Normal 5 6 2 2 3 2 3" xfId="27694" xr:uid="{00000000-0005-0000-0000-0000FF5E0000}"/>
    <cellStyle name="Normal 5 6 2 2 3 3" xfId="21912" xr:uid="{00000000-0005-0000-0000-0000005F0000}"/>
    <cellStyle name="Normal 5 6 2 2 3 4" xfId="27693" xr:uid="{00000000-0005-0000-0000-0000015F0000}"/>
    <cellStyle name="Normal 5 6 2 2 4" xfId="5866" xr:uid="{00000000-0005-0000-0000-0000025F0000}"/>
    <cellStyle name="Normal 5 6 2 2 4 2" xfId="6888" xr:uid="{00000000-0005-0000-0000-0000035F0000}"/>
    <cellStyle name="Normal 5 6 2 2 4 2 2" xfId="21915" xr:uid="{00000000-0005-0000-0000-0000045F0000}"/>
    <cellStyle name="Normal 5 6 2 2 4 2 3" xfId="27696" xr:uid="{00000000-0005-0000-0000-0000055F0000}"/>
    <cellStyle name="Normal 5 6 2 2 4 3" xfId="21914" xr:uid="{00000000-0005-0000-0000-0000065F0000}"/>
    <cellStyle name="Normal 5 6 2 2 4 4" xfId="27695" xr:uid="{00000000-0005-0000-0000-0000075F0000}"/>
    <cellStyle name="Normal 5 6 2 2 5" xfId="4983" xr:uid="{00000000-0005-0000-0000-0000085F0000}"/>
    <cellStyle name="Normal 5 6 2 2 5 2" xfId="6889" xr:uid="{00000000-0005-0000-0000-0000095F0000}"/>
    <cellStyle name="Normal 5 6 2 2 5 2 2" xfId="27698" xr:uid="{00000000-0005-0000-0000-00000A5F0000}"/>
    <cellStyle name="Normal 5 6 2 2 5 3" xfId="21916" xr:uid="{00000000-0005-0000-0000-00000B5F0000}"/>
    <cellStyle name="Normal 5 6 2 2 5 4" xfId="27697" xr:uid="{00000000-0005-0000-0000-00000C5F0000}"/>
    <cellStyle name="Normal 5 6 2 2 6" xfId="6883" xr:uid="{00000000-0005-0000-0000-00000D5F0000}"/>
    <cellStyle name="Normal 5 6 2 2 6 2" xfId="27699" xr:uid="{00000000-0005-0000-0000-00000E5F0000}"/>
    <cellStyle name="Normal 5 6 2 2 7" xfId="21905" xr:uid="{00000000-0005-0000-0000-00000F5F0000}"/>
    <cellStyle name="Normal 5 6 2 2 8" xfId="25071" xr:uid="{00000000-0005-0000-0000-0000105F0000}"/>
    <cellStyle name="Normal 5 6 2 2 9" xfId="27686" xr:uid="{00000000-0005-0000-0000-0000115F0000}"/>
    <cellStyle name="Normal 5 6 2 3" xfId="4985" xr:uid="{00000000-0005-0000-0000-0000125F0000}"/>
    <cellStyle name="Normal 5 6 2 3 2" xfId="5558" xr:uid="{00000000-0005-0000-0000-0000135F0000}"/>
    <cellStyle name="Normal 5 6 2 3 2 2" xfId="6891" xr:uid="{00000000-0005-0000-0000-0000145F0000}"/>
    <cellStyle name="Normal 5 6 2 3 2 2 2" xfId="21919" xr:uid="{00000000-0005-0000-0000-0000155F0000}"/>
    <cellStyle name="Normal 5 6 2 3 2 2 3" xfId="27702" xr:uid="{00000000-0005-0000-0000-0000165F0000}"/>
    <cellStyle name="Normal 5 6 2 3 2 3" xfId="21918" xr:uid="{00000000-0005-0000-0000-0000175F0000}"/>
    <cellStyle name="Normal 5 6 2 3 2 4" xfId="27701" xr:uid="{00000000-0005-0000-0000-0000185F0000}"/>
    <cellStyle name="Normal 5 6 2 3 3" xfId="5868" xr:uid="{00000000-0005-0000-0000-0000195F0000}"/>
    <cellStyle name="Normal 5 6 2 3 3 2" xfId="6892" xr:uid="{00000000-0005-0000-0000-00001A5F0000}"/>
    <cellStyle name="Normal 5 6 2 3 3 2 2" xfId="21921" xr:uid="{00000000-0005-0000-0000-00001B5F0000}"/>
    <cellStyle name="Normal 5 6 2 3 3 2 3" xfId="27704" xr:uid="{00000000-0005-0000-0000-00001C5F0000}"/>
    <cellStyle name="Normal 5 6 2 3 3 3" xfId="21920" xr:uid="{00000000-0005-0000-0000-00001D5F0000}"/>
    <cellStyle name="Normal 5 6 2 3 3 4" xfId="27703" xr:uid="{00000000-0005-0000-0000-00001E5F0000}"/>
    <cellStyle name="Normal 5 6 2 3 4" xfId="6890" xr:uid="{00000000-0005-0000-0000-00001F5F0000}"/>
    <cellStyle name="Normal 5 6 2 3 4 2" xfId="21922" xr:uid="{00000000-0005-0000-0000-0000205F0000}"/>
    <cellStyle name="Normal 5 6 2 3 4 3" xfId="27705" xr:uid="{00000000-0005-0000-0000-0000215F0000}"/>
    <cellStyle name="Normal 5 6 2 3 5" xfId="21917" xr:uid="{00000000-0005-0000-0000-0000225F0000}"/>
    <cellStyle name="Normal 5 6 2 3 6" xfId="27700" xr:uid="{00000000-0005-0000-0000-0000235F0000}"/>
    <cellStyle name="Normal 5 6 2 4" xfId="5555" xr:uid="{00000000-0005-0000-0000-0000245F0000}"/>
    <cellStyle name="Normal 5 6 2 4 2" xfId="6893" xr:uid="{00000000-0005-0000-0000-0000255F0000}"/>
    <cellStyle name="Normal 5 6 2 4 2 2" xfId="21924" xr:uid="{00000000-0005-0000-0000-0000265F0000}"/>
    <cellStyle name="Normal 5 6 2 4 2 3" xfId="27707" xr:uid="{00000000-0005-0000-0000-0000275F0000}"/>
    <cellStyle name="Normal 5 6 2 4 3" xfId="21923" xr:uid="{00000000-0005-0000-0000-0000285F0000}"/>
    <cellStyle name="Normal 5 6 2 4 4" xfId="27706" xr:uid="{00000000-0005-0000-0000-0000295F0000}"/>
    <cellStyle name="Normal 5 6 2 5" xfId="5865" xr:uid="{00000000-0005-0000-0000-00002A5F0000}"/>
    <cellStyle name="Normal 5 6 2 5 2" xfId="6894" xr:uid="{00000000-0005-0000-0000-00002B5F0000}"/>
    <cellStyle name="Normal 5 6 2 5 2 2" xfId="21926" xr:uid="{00000000-0005-0000-0000-00002C5F0000}"/>
    <cellStyle name="Normal 5 6 2 5 2 3" xfId="27709" xr:uid="{00000000-0005-0000-0000-00002D5F0000}"/>
    <cellStyle name="Normal 5 6 2 5 3" xfId="21925" xr:uid="{00000000-0005-0000-0000-00002E5F0000}"/>
    <cellStyle name="Normal 5 6 2 5 4" xfId="27708" xr:uid="{00000000-0005-0000-0000-00002F5F0000}"/>
    <cellStyle name="Normal 5 6 2 6" xfId="4982" xr:uid="{00000000-0005-0000-0000-0000305F0000}"/>
    <cellStyle name="Normal 5 6 2 6 2" xfId="6895" xr:uid="{00000000-0005-0000-0000-0000315F0000}"/>
    <cellStyle name="Normal 5 6 2 6 2 2" xfId="27711" xr:uid="{00000000-0005-0000-0000-0000325F0000}"/>
    <cellStyle name="Normal 5 6 2 6 3" xfId="21927" xr:uid="{00000000-0005-0000-0000-0000335F0000}"/>
    <cellStyle name="Normal 5 6 2 6 4" xfId="27710" xr:uid="{00000000-0005-0000-0000-0000345F0000}"/>
    <cellStyle name="Normal 5 6 2 7" xfId="6882" xr:uid="{00000000-0005-0000-0000-0000355F0000}"/>
    <cellStyle name="Normal 5 6 2 7 2" xfId="27712" xr:uid="{00000000-0005-0000-0000-0000365F0000}"/>
    <cellStyle name="Normal 5 6 2 8" xfId="21904" xr:uid="{00000000-0005-0000-0000-0000375F0000}"/>
    <cellStyle name="Normal 5 6 2 9" xfId="24951" xr:uid="{00000000-0005-0000-0000-0000385F0000}"/>
    <cellStyle name="Normal 5 6 3" xfId="3628" xr:uid="{00000000-0005-0000-0000-0000395F0000}"/>
    <cellStyle name="Normal 5 6 4" xfId="3932" xr:uid="{00000000-0005-0000-0000-00003A5F0000}"/>
    <cellStyle name="Normal 5 7" xfId="1072" xr:uid="{00000000-0005-0000-0000-00003B5F0000}"/>
    <cellStyle name="Normal 5 7 2" xfId="3630" xr:uid="{00000000-0005-0000-0000-00003C5F0000}"/>
    <cellStyle name="Normal 5 7 3" xfId="3942" xr:uid="{00000000-0005-0000-0000-00003D5F0000}"/>
    <cellStyle name="Normal 5 8" xfId="1082" xr:uid="{00000000-0005-0000-0000-00003E5F0000}"/>
    <cellStyle name="Normal 5 8 2" xfId="3673" xr:uid="{00000000-0005-0000-0000-00003F5F0000}"/>
    <cellStyle name="Normal 5 8 2 2" xfId="4204" xr:uid="{00000000-0005-0000-0000-0000405F0000}"/>
    <cellStyle name="Normal 5 8 2 2 2" xfId="5561" xr:uid="{00000000-0005-0000-0000-0000415F0000}"/>
    <cellStyle name="Normal 5 8 2 2 2 2" xfId="6898" xr:uid="{00000000-0005-0000-0000-0000425F0000}"/>
    <cellStyle name="Normal 5 8 2 2 2 2 2" xfId="21932" xr:uid="{00000000-0005-0000-0000-0000435F0000}"/>
    <cellStyle name="Normal 5 8 2 2 2 2 3" xfId="27716" xr:uid="{00000000-0005-0000-0000-0000445F0000}"/>
    <cellStyle name="Normal 5 8 2 2 2 3" xfId="21931" xr:uid="{00000000-0005-0000-0000-0000455F0000}"/>
    <cellStyle name="Normal 5 8 2 2 2 4" xfId="27715" xr:uid="{00000000-0005-0000-0000-0000465F0000}"/>
    <cellStyle name="Normal 5 8 2 2 3" xfId="5871" xr:uid="{00000000-0005-0000-0000-0000475F0000}"/>
    <cellStyle name="Normal 5 8 2 2 3 2" xfId="6899" xr:uid="{00000000-0005-0000-0000-0000485F0000}"/>
    <cellStyle name="Normal 5 8 2 2 3 2 2" xfId="21934" xr:uid="{00000000-0005-0000-0000-0000495F0000}"/>
    <cellStyle name="Normal 5 8 2 2 3 2 3" xfId="27718" xr:uid="{00000000-0005-0000-0000-00004A5F0000}"/>
    <cellStyle name="Normal 5 8 2 2 3 3" xfId="21933" xr:uid="{00000000-0005-0000-0000-00004B5F0000}"/>
    <cellStyle name="Normal 5 8 2 2 3 4" xfId="27717" xr:uid="{00000000-0005-0000-0000-00004C5F0000}"/>
    <cellStyle name="Normal 5 8 2 2 4" xfId="4988" xr:uid="{00000000-0005-0000-0000-00004D5F0000}"/>
    <cellStyle name="Normal 5 8 2 2 4 2" xfId="6900" xr:uid="{00000000-0005-0000-0000-00004E5F0000}"/>
    <cellStyle name="Normal 5 8 2 2 4 2 2" xfId="27720" xr:uid="{00000000-0005-0000-0000-00004F5F0000}"/>
    <cellStyle name="Normal 5 8 2 2 4 3" xfId="21935" xr:uid="{00000000-0005-0000-0000-0000505F0000}"/>
    <cellStyle name="Normal 5 8 2 2 4 4" xfId="27719" xr:uid="{00000000-0005-0000-0000-0000515F0000}"/>
    <cellStyle name="Normal 5 8 2 2 5" xfId="6897" xr:uid="{00000000-0005-0000-0000-0000525F0000}"/>
    <cellStyle name="Normal 5 8 2 2 5 2" xfId="27721" xr:uid="{00000000-0005-0000-0000-0000535F0000}"/>
    <cellStyle name="Normal 5 8 2 2 6" xfId="21930" xr:uid="{00000000-0005-0000-0000-0000545F0000}"/>
    <cellStyle name="Normal 5 8 2 2 7" xfId="25056" xr:uid="{00000000-0005-0000-0000-0000555F0000}"/>
    <cellStyle name="Normal 5 8 2 2 8" xfId="27714" xr:uid="{00000000-0005-0000-0000-0000565F0000}"/>
    <cellStyle name="Normal 5 8 2 3" xfId="5560" xr:uid="{00000000-0005-0000-0000-0000575F0000}"/>
    <cellStyle name="Normal 5 8 2 3 2" xfId="6901" xr:uid="{00000000-0005-0000-0000-0000585F0000}"/>
    <cellStyle name="Normal 5 8 2 3 2 2" xfId="21937" xr:uid="{00000000-0005-0000-0000-0000595F0000}"/>
    <cellStyle name="Normal 5 8 2 3 2 3" xfId="27723" xr:uid="{00000000-0005-0000-0000-00005A5F0000}"/>
    <cellStyle name="Normal 5 8 2 3 3" xfId="21936" xr:uid="{00000000-0005-0000-0000-00005B5F0000}"/>
    <cellStyle name="Normal 5 8 2 3 4" xfId="27722" xr:uid="{00000000-0005-0000-0000-00005C5F0000}"/>
    <cellStyle name="Normal 5 8 2 4" xfId="5870" xr:uid="{00000000-0005-0000-0000-00005D5F0000}"/>
    <cellStyle name="Normal 5 8 2 4 2" xfId="6902" xr:uid="{00000000-0005-0000-0000-00005E5F0000}"/>
    <cellStyle name="Normal 5 8 2 4 2 2" xfId="21939" xr:uid="{00000000-0005-0000-0000-00005F5F0000}"/>
    <cellStyle name="Normal 5 8 2 4 2 3" xfId="27725" xr:uid="{00000000-0005-0000-0000-0000605F0000}"/>
    <cellStyle name="Normal 5 8 2 4 3" xfId="21938" xr:uid="{00000000-0005-0000-0000-0000615F0000}"/>
    <cellStyle name="Normal 5 8 2 4 4" xfId="27724" xr:uid="{00000000-0005-0000-0000-0000625F0000}"/>
    <cellStyle name="Normal 5 8 2 5" xfId="4987" xr:uid="{00000000-0005-0000-0000-0000635F0000}"/>
    <cellStyle name="Normal 5 8 2 5 2" xfId="6903" xr:uid="{00000000-0005-0000-0000-0000645F0000}"/>
    <cellStyle name="Normal 5 8 2 5 2 2" xfId="27727" xr:uid="{00000000-0005-0000-0000-0000655F0000}"/>
    <cellStyle name="Normal 5 8 2 5 3" xfId="21940" xr:uid="{00000000-0005-0000-0000-0000665F0000}"/>
    <cellStyle name="Normal 5 8 2 5 4" xfId="27726" xr:uid="{00000000-0005-0000-0000-0000675F0000}"/>
    <cellStyle name="Normal 5 8 2 6" xfId="6896" xr:uid="{00000000-0005-0000-0000-0000685F0000}"/>
    <cellStyle name="Normal 5 8 2 6 2" xfId="27728" xr:uid="{00000000-0005-0000-0000-0000695F0000}"/>
    <cellStyle name="Normal 5 8 2 7" xfId="21929" xr:uid="{00000000-0005-0000-0000-00006A5F0000}"/>
    <cellStyle name="Normal 5 8 2 8" xfId="24936" xr:uid="{00000000-0005-0000-0000-00006B5F0000}"/>
    <cellStyle name="Normal 5 8 2 9" xfId="27713" xr:uid="{00000000-0005-0000-0000-00006C5F0000}"/>
    <cellStyle name="Normal 5 8 3" xfId="3952" xr:uid="{00000000-0005-0000-0000-00006D5F0000}"/>
    <cellStyle name="Normal 5 8 3 2" xfId="5562" xr:uid="{00000000-0005-0000-0000-00006E5F0000}"/>
    <cellStyle name="Normal 5 8 3 2 2" xfId="6904" xr:uid="{00000000-0005-0000-0000-00006F5F0000}"/>
    <cellStyle name="Normal 5 8 3 2 2 2" xfId="21943" xr:uid="{00000000-0005-0000-0000-0000705F0000}"/>
    <cellStyle name="Normal 5 8 3 2 2 3" xfId="27730" xr:uid="{00000000-0005-0000-0000-0000715F0000}"/>
    <cellStyle name="Normal 5 8 3 2 3" xfId="21942" xr:uid="{00000000-0005-0000-0000-0000725F0000}"/>
    <cellStyle name="Normal 5 8 3 2 4" xfId="27729" xr:uid="{00000000-0005-0000-0000-0000735F0000}"/>
    <cellStyle name="Normal 5 8 3 3" xfId="5872" xr:uid="{00000000-0005-0000-0000-0000745F0000}"/>
    <cellStyle name="Normal 5 8 3 3 2" xfId="6905" xr:uid="{00000000-0005-0000-0000-0000755F0000}"/>
    <cellStyle name="Normal 5 8 3 3 2 2" xfId="21945" xr:uid="{00000000-0005-0000-0000-0000765F0000}"/>
    <cellStyle name="Normal 5 8 3 3 2 3" xfId="27732" xr:uid="{00000000-0005-0000-0000-0000775F0000}"/>
    <cellStyle name="Normal 5 8 3 3 3" xfId="21944" xr:uid="{00000000-0005-0000-0000-0000785F0000}"/>
    <cellStyle name="Normal 5 8 3 3 4" xfId="27731" xr:uid="{00000000-0005-0000-0000-0000795F0000}"/>
    <cellStyle name="Normal 5 8 3 4" xfId="4989" xr:uid="{00000000-0005-0000-0000-00007A5F0000}"/>
    <cellStyle name="Normal 5 8 3 4 2" xfId="6906" xr:uid="{00000000-0005-0000-0000-00007B5F0000}"/>
    <cellStyle name="Normal 5 8 3 4 2 2" xfId="27734" xr:uid="{00000000-0005-0000-0000-00007C5F0000}"/>
    <cellStyle name="Normal 5 8 3 4 3" xfId="21946" xr:uid="{00000000-0005-0000-0000-00007D5F0000}"/>
    <cellStyle name="Normal 5 8 3 4 4" xfId="27733" xr:uid="{00000000-0005-0000-0000-00007E5F0000}"/>
    <cellStyle name="Normal 5 8 3 5" xfId="21941" xr:uid="{00000000-0005-0000-0000-00007F5F0000}"/>
    <cellStyle name="Normal 5 8 4" xfId="5559" xr:uid="{00000000-0005-0000-0000-0000805F0000}"/>
    <cellStyle name="Normal 5 8 4 2" xfId="6907" xr:uid="{00000000-0005-0000-0000-0000815F0000}"/>
    <cellStyle name="Normal 5 8 4 2 2" xfId="21948" xr:uid="{00000000-0005-0000-0000-0000825F0000}"/>
    <cellStyle name="Normal 5 8 4 2 3" xfId="27736" xr:uid="{00000000-0005-0000-0000-0000835F0000}"/>
    <cellStyle name="Normal 5 8 4 3" xfId="21947" xr:uid="{00000000-0005-0000-0000-0000845F0000}"/>
    <cellStyle name="Normal 5 8 4 4" xfId="27735" xr:uid="{00000000-0005-0000-0000-0000855F0000}"/>
    <cellStyle name="Normal 5 8 5" xfId="5869" xr:uid="{00000000-0005-0000-0000-0000865F0000}"/>
    <cellStyle name="Normal 5 8 5 2" xfId="6908" xr:uid="{00000000-0005-0000-0000-0000875F0000}"/>
    <cellStyle name="Normal 5 8 5 2 2" xfId="21950" xr:uid="{00000000-0005-0000-0000-0000885F0000}"/>
    <cellStyle name="Normal 5 8 5 2 3" xfId="27738" xr:uid="{00000000-0005-0000-0000-0000895F0000}"/>
    <cellStyle name="Normal 5 8 5 3" xfId="21949" xr:uid="{00000000-0005-0000-0000-00008A5F0000}"/>
    <cellStyle name="Normal 5 8 5 4" xfId="27737" xr:uid="{00000000-0005-0000-0000-00008B5F0000}"/>
    <cellStyle name="Normal 5 8 6" xfId="4986" xr:uid="{00000000-0005-0000-0000-00008C5F0000}"/>
    <cellStyle name="Normal 5 8 6 2" xfId="6909" xr:uid="{00000000-0005-0000-0000-00008D5F0000}"/>
    <cellStyle name="Normal 5 8 6 2 2" xfId="27740" xr:uid="{00000000-0005-0000-0000-00008E5F0000}"/>
    <cellStyle name="Normal 5 8 6 3" xfId="21951" xr:uid="{00000000-0005-0000-0000-00008F5F0000}"/>
    <cellStyle name="Normal 5 8 6 4" xfId="27739" xr:uid="{00000000-0005-0000-0000-0000905F0000}"/>
    <cellStyle name="Normal 5 8 7" xfId="21928" xr:uid="{00000000-0005-0000-0000-0000915F0000}"/>
    <cellStyle name="Normal 5 9" xfId="1092" xr:uid="{00000000-0005-0000-0000-0000925F0000}"/>
    <cellStyle name="Normal 5 9 2" xfId="3962" xr:uid="{00000000-0005-0000-0000-0000935F0000}"/>
    <cellStyle name="Normal 5 9 2 2" xfId="21954" xr:uid="{00000000-0005-0000-0000-0000945F0000}"/>
    <cellStyle name="Normal 5 9 2 3" xfId="21953" xr:uid="{00000000-0005-0000-0000-0000955F0000}"/>
    <cellStyle name="Normal 5 9 3" xfId="4990" xr:uid="{00000000-0005-0000-0000-0000965F0000}"/>
    <cellStyle name="Normal 5 9 3 2" xfId="5563" xr:uid="{00000000-0005-0000-0000-0000975F0000}"/>
    <cellStyle name="Normal 5 9 3 2 2" xfId="6911" xr:uid="{00000000-0005-0000-0000-0000985F0000}"/>
    <cellStyle name="Normal 5 9 3 2 2 2" xfId="27743" xr:uid="{00000000-0005-0000-0000-0000995F0000}"/>
    <cellStyle name="Normal 5 9 3 2 3" xfId="21956" xr:uid="{00000000-0005-0000-0000-00009A5F0000}"/>
    <cellStyle name="Normal 5 9 3 2 4" xfId="27742" xr:uid="{00000000-0005-0000-0000-00009B5F0000}"/>
    <cellStyle name="Normal 5 9 3 3" xfId="5873" xr:uid="{00000000-0005-0000-0000-00009C5F0000}"/>
    <cellStyle name="Normal 5 9 3 3 2" xfId="6912" xr:uid="{00000000-0005-0000-0000-00009D5F0000}"/>
    <cellStyle name="Normal 5 9 3 3 2 2" xfId="27745" xr:uid="{00000000-0005-0000-0000-00009E5F0000}"/>
    <cellStyle name="Normal 5 9 3 3 3" xfId="27744" xr:uid="{00000000-0005-0000-0000-00009F5F0000}"/>
    <cellStyle name="Normal 5 9 3 4" xfId="6910" xr:uid="{00000000-0005-0000-0000-0000A05F0000}"/>
    <cellStyle name="Normal 5 9 3 4 2" xfId="27746" xr:uid="{00000000-0005-0000-0000-0000A15F0000}"/>
    <cellStyle name="Normal 5 9 3 5" xfId="21955" xr:uid="{00000000-0005-0000-0000-0000A25F0000}"/>
    <cellStyle name="Normal 5 9 3 6" xfId="27741" xr:uid="{00000000-0005-0000-0000-0000A35F0000}"/>
    <cellStyle name="Normal 5 9 4" xfId="21957" xr:uid="{00000000-0005-0000-0000-0000A45F0000}"/>
    <cellStyle name="Normal 5 9 5" xfId="21952" xr:uid="{00000000-0005-0000-0000-0000A55F0000}"/>
    <cellStyle name="Normal 6" xfId="30" xr:uid="{00000000-0005-0000-0000-0000A65F0000}"/>
    <cellStyle name="Normal 6 10" xfId="1119" xr:uid="{00000000-0005-0000-0000-0000A75F0000}"/>
    <cellStyle name="Normal 6 10 2" xfId="3989" xr:uid="{00000000-0005-0000-0000-0000A85F0000}"/>
    <cellStyle name="Normal 6 10 2 2" xfId="21960" xr:uid="{00000000-0005-0000-0000-0000A95F0000}"/>
    <cellStyle name="Normal 6 10 2 3" xfId="21959" xr:uid="{00000000-0005-0000-0000-0000AA5F0000}"/>
    <cellStyle name="Normal 6 10 3" xfId="21961" xr:uid="{00000000-0005-0000-0000-0000AB5F0000}"/>
    <cellStyle name="Normal 6 10 3 2" xfId="21962" xr:uid="{00000000-0005-0000-0000-0000AC5F0000}"/>
    <cellStyle name="Normal 6 10 4" xfId="21963" xr:uid="{00000000-0005-0000-0000-0000AD5F0000}"/>
    <cellStyle name="Normal 6 10 5" xfId="21958" xr:uid="{00000000-0005-0000-0000-0000AE5F0000}"/>
    <cellStyle name="Normal 6 11" xfId="1129" xr:uid="{00000000-0005-0000-0000-0000AF5F0000}"/>
    <cellStyle name="Normal 6 11 2" xfId="3999" xr:uid="{00000000-0005-0000-0000-0000B05F0000}"/>
    <cellStyle name="Normal 6 11 2 2" xfId="21966" xr:uid="{00000000-0005-0000-0000-0000B15F0000}"/>
    <cellStyle name="Normal 6 11 2 3" xfId="21965" xr:uid="{00000000-0005-0000-0000-0000B25F0000}"/>
    <cellStyle name="Normal 6 11 3" xfId="21967" xr:uid="{00000000-0005-0000-0000-0000B35F0000}"/>
    <cellStyle name="Normal 6 11 3 2" xfId="21968" xr:uid="{00000000-0005-0000-0000-0000B45F0000}"/>
    <cellStyle name="Normal 6 11 4" xfId="21969" xr:uid="{00000000-0005-0000-0000-0000B55F0000}"/>
    <cellStyle name="Normal 6 11 5" xfId="21964" xr:uid="{00000000-0005-0000-0000-0000B65F0000}"/>
    <cellStyle name="Normal 6 12" xfId="1139" xr:uid="{00000000-0005-0000-0000-0000B75F0000}"/>
    <cellStyle name="Normal 6 12 2" xfId="4009" xr:uid="{00000000-0005-0000-0000-0000B85F0000}"/>
    <cellStyle name="Normal 6 12 2 2" xfId="21972" xr:uid="{00000000-0005-0000-0000-0000B95F0000}"/>
    <cellStyle name="Normal 6 12 2 3" xfId="21971" xr:uid="{00000000-0005-0000-0000-0000BA5F0000}"/>
    <cellStyle name="Normal 6 12 3" xfId="21973" xr:uid="{00000000-0005-0000-0000-0000BB5F0000}"/>
    <cellStyle name="Normal 6 12 3 2" xfId="21974" xr:uid="{00000000-0005-0000-0000-0000BC5F0000}"/>
    <cellStyle name="Normal 6 12 4" xfId="21975" xr:uid="{00000000-0005-0000-0000-0000BD5F0000}"/>
    <cellStyle name="Normal 6 12 5" xfId="21970" xr:uid="{00000000-0005-0000-0000-0000BE5F0000}"/>
    <cellStyle name="Normal 6 13" xfId="1149" xr:uid="{00000000-0005-0000-0000-0000BF5F0000}"/>
    <cellStyle name="Normal 6 13 2" xfId="4019" xr:uid="{00000000-0005-0000-0000-0000C05F0000}"/>
    <cellStyle name="Normal 6 13 2 2" xfId="21978" xr:uid="{00000000-0005-0000-0000-0000C15F0000}"/>
    <cellStyle name="Normal 6 13 2 3" xfId="21977" xr:uid="{00000000-0005-0000-0000-0000C25F0000}"/>
    <cellStyle name="Normal 6 13 3" xfId="21979" xr:uid="{00000000-0005-0000-0000-0000C35F0000}"/>
    <cellStyle name="Normal 6 13 3 2" xfId="21980" xr:uid="{00000000-0005-0000-0000-0000C45F0000}"/>
    <cellStyle name="Normal 6 13 4" xfId="21981" xr:uid="{00000000-0005-0000-0000-0000C55F0000}"/>
    <cellStyle name="Normal 6 13 5" xfId="21976" xr:uid="{00000000-0005-0000-0000-0000C65F0000}"/>
    <cellStyle name="Normal 6 14" xfId="1157" xr:uid="{00000000-0005-0000-0000-0000C75F0000}"/>
    <cellStyle name="Normal 6 14 2" xfId="4027" xr:uid="{00000000-0005-0000-0000-0000C85F0000}"/>
    <cellStyle name="Normal 6 14 2 2" xfId="21983" xr:uid="{00000000-0005-0000-0000-0000C95F0000}"/>
    <cellStyle name="Normal 6 14 3" xfId="21982" xr:uid="{00000000-0005-0000-0000-0000CA5F0000}"/>
    <cellStyle name="Normal 6 15" xfId="1169" xr:uid="{00000000-0005-0000-0000-0000CB5F0000}"/>
    <cellStyle name="Normal 6 15 2" xfId="4039" xr:uid="{00000000-0005-0000-0000-0000CC5F0000}"/>
    <cellStyle name="Normal 6 15 2 2" xfId="21985" xr:uid="{00000000-0005-0000-0000-0000CD5F0000}"/>
    <cellStyle name="Normal 6 15 3" xfId="21984" xr:uid="{00000000-0005-0000-0000-0000CE5F0000}"/>
    <cellStyle name="Normal 6 16" xfId="1179" xr:uid="{00000000-0005-0000-0000-0000CF5F0000}"/>
    <cellStyle name="Normal 6 16 2" xfId="4049" xr:uid="{00000000-0005-0000-0000-0000D05F0000}"/>
    <cellStyle name="Normal 6 16 2 2" xfId="21987" xr:uid="{00000000-0005-0000-0000-0000D15F0000}"/>
    <cellStyle name="Normal 6 16 3" xfId="21986" xr:uid="{00000000-0005-0000-0000-0000D25F0000}"/>
    <cellStyle name="Normal 6 17" xfId="1189" xr:uid="{00000000-0005-0000-0000-0000D35F0000}"/>
    <cellStyle name="Normal 6 17 2" xfId="4059" xr:uid="{00000000-0005-0000-0000-0000D45F0000}"/>
    <cellStyle name="Normal 6 17 3" xfId="28686" xr:uid="{00000000-0005-0000-0000-0000D55F0000}"/>
    <cellStyle name="Normal 6 18" xfId="1199" xr:uid="{00000000-0005-0000-0000-0000D65F0000}"/>
    <cellStyle name="Normal 6 18 2" xfId="4069" xr:uid="{00000000-0005-0000-0000-0000D75F0000}"/>
    <cellStyle name="Normal 6 19" xfId="1209" xr:uid="{00000000-0005-0000-0000-0000D85F0000}"/>
    <cellStyle name="Normal 6 19 2" xfId="4079" xr:uid="{00000000-0005-0000-0000-0000D95F0000}"/>
    <cellStyle name="Normal 6 2" xfId="63" xr:uid="{00000000-0005-0000-0000-0000DA5F0000}"/>
    <cellStyle name="Normal 6 2 10" xfId="21988" xr:uid="{00000000-0005-0000-0000-0000DB5F0000}"/>
    <cellStyle name="Normal 6 2 10 2" xfId="21989" xr:uid="{00000000-0005-0000-0000-0000DC5F0000}"/>
    <cellStyle name="Normal 6 2 10 2 2" xfId="21990" xr:uid="{00000000-0005-0000-0000-0000DD5F0000}"/>
    <cellStyle name="Normal 6 2 10 3" xfId="21991" xr:uid="{00000000-0005-0000-0000-0000DE5F0000}"/>
    <cellStyle name="Normal 6 2 10 3 2" xfId="21992" xr:uid="{00000000-0005-0000-0000-0000DF5F0000}"/>
    <cellStyle name="Normal 6 2 10 4" xfId="21993" xr:uid="{00000000-0005-0000-0000-0000E05F0000}"/>
    <cellStyle name="Normal 6 2 11" xfId="21994" xr:uid="{00000000-0005-0000-0000-0000E15F0000}"/>
    <cellStyle name="Normal 6 2 11 2" xfId="21995" xr:uid="{00000000-0005-0000-0000-0000E25F0000}"/>
    <cellStyle name="Normal 6 2 11 2 2" xfId="21996" xr:uid="{00000000-0005-0000-0000-0000E35F0000}"/>
    <cellStyle name="Normal 6 2 11 3" xfId="21997" xr:uid="{00000000-0005-0000-0000-0000E45F0000}"/>
    <cellStyle name="Normal 6 2 11 3 2" xfId="21998" xr:uid="{00000000-0005-0000-0000-0000E55F0000}"/>
    <cellStyle name="Normal 6 2 11 4" xfId="21999" xr:uid="{00000000-0005-0000-0000-0000E65F0000}"/>
    <cellStyle name="Normal 6 2 12" xfId="22000" xr:uid="{00000000-0005-0000-0000-0000E75F0000}"/>
    <cellStyle name="Normal 6 2 12 2" xfId="22001" xr:uid="{00000000-0005-0000-0000-0000E85F0000}"/>
    <cellStyle name="Normal 6 2 12 2 2" xfId="22002" xr:uid="{00000000-0005-0000-0000-0000E95F0000}"/>
    <cellStyle name="Normal 6 2 12 3" xfId="22003" xr:uid="{00000000-0005-0000-0000-0000EA5F0000}"/>
    <cellStyle name="Normal 6 2 12 3 2" xfId="22004" xr:uid="{00000000-0005-0000-0000-0000EB5F0000}"/>
    <cellStyle name="Normal 6 2 12 4" xfId="22005" xr:uid="{00000000-0005-0000-0000-0000EC5F0000}"/>
    <cellStyle name="Normal 6 2 13" xfId="22006" xr:uid="{00000000-0005-0000-0000-0000ED5F0000}"/>
    <cellStyle name="Normal 6 2 13 2" xfId="22007" xr:uid="{00000000-0005-0000-0000-0000EE5F0000}"/>
    <cellStyle name="Normal 6 2 14" xfId="22008" xr:uid="{00000000-0005-0000-0000-0000EF5F0000}"/>
    <cellStyle name="Normal 6 2 14 2" xfId="22009" xr:uid="{00000000-0005-0000-0000-0000F05F0000}"/>
    <cellStyle name="Normal 6 2 15" xfId="22010" xr:uid="{00000000-0005-0000-0000-0000F15F0000}"/>
    <cellStyle name="Normal 6 2 15 2" xfId="22011" xr:uid="{00000000-0005-0000-0000-0000F25F0000}"/>
    <cellStyle name="Normal 6 2 16" xfId="22012" xr:uid="{00000000-0005-0000-0000-0000F35F0000}"/>
    <cellStyle name="Normal 6 2 16 2" xfId="22013" xr:uid="{00000000-0005-0000-0000-0000F45F0000}"/>
    <cellStyle name="Normal 6 2 2" xfId="3904" xr:uid="{00000000-0005-0000-0000-0000F55F0000}"/>
    <cellStyle name="Normal 6 2 2 2" xfId="22015" xr:uid="{00000000-0005-0000-0000-0000F65F0000}"/>
    <cellStyle name="Normal 6 2 2 2 2" xfId="22016" xr:uid="{00000000-0005-0000-0000-0000F75F0000}"/>
    <cellStyle name="Normal 6 2 2 3" xfId="22017" xr:uid="{00000000-0005-0000-0000-0000F85F0000}"/>
    <cellStyle name="Normal 6 2 2 3 2" xfId="22018" xr:uid="{00000000-0005-0000-0000-0000F95F0000}"/>
    <cellStyle name="Normal 6 2 2 4" xfId="22019" xr:uid="{00000000-0005-0000-0000-0000FA5F0000}"/>
    <cellStyle name="Normal 6 2 2 4 2" xfId="22020" xr:uid="{00000000-0005-0000-0000-0000FB5F0000}"/>
    <cellStyle name="Normal 6 2 2 5" xfId="22021" xr:uid="{00000000-0005-0000-0000-0000FC5F0000}"/>
    <cellStyle name="Normal 6 2 2 6" xfId="22014" xr:uid="{00000000-0005-0000-0000-0000FD5F0000}"/>
    <cellStyle name="Normal 6 2 3" xfId="4991" xr:uid="{00000000-0005-0000-0000-0000FE5F0000}"/>
    <cellStyle name="Normal 6 2 3 2" xfId="22022" xr:uid="{00000000-0005-0000-0000-0000FF5F0000}"/>
    <cellStyle name="Normal 6 2 3 2 2" xfId="22023" xr:uid="{00000000-0005-0000-0000-000000600000}"/>
    <cellStyle name="Normal 6 2 3 3" xfId="22024" xr:uid="{00000000-0005-0000-0000-000001600000}"/>
    <cellStyle name="Normal 6 2 3 3 2" xfId="22025" xr:uid="{00000000-0005-0000-0000-000002600000}"/>
    <cellStyle name="Normal 6 2 3 4" xfId="22026" xr:uid="{00000000-0005-0000-0000-000003600000}"/>
    <cellStyle name="Normal 6 2 3 4 2" xfId="22027" xr:uid="{00000000-0005-0000-0000-000004600000}"/>
    <cellStyle name="Normal 6 2 4" xfId="22028" xr:uid="{00000000-0005-0000-0000-000005600000}"/>
    <cellStyle name="Normal 6 2 4 2" xfId="22029" xr:uid="{00000000-0005-0000-0000-000006600000}"/>
    <cellStyle name="Normal 6 2 4 2 2" xfId="22030" xr:uid="{00000000-0005-0000-0000-000007600000}"/>
    <cellStyle name="Normal 6 2 4 3" xfId="22031" xr:uid="{00000000-0005-0000-0000-000008600000}"/>
    <cellStyle name="Normal 6 2 4 3 2" xfId="22032" xr:uid="{00000000-0005-0000-0000-000009600000}"/>
    <cellStyle name="Normal 6 2 4 4" xfId="22033" xr:uid="{00000000-0005-0000-0000-00000A600000}"/>
    <cellStyle name="Normal 6 2 5" xfId="22034" xr:uid="{00000000-0005-0000-0000-00000B600000}"/>
    <cellStyle name="Normal 6 2 5 2" xfId="22035" xr:uid="{00000000-0005-0000-0000-00000C600000}"/>
    <cellStyle name="Normal 6 2 5 2 2" xfId="22036" xr:uid="{00000000-0005-0000-0000-00000D600000}"/>
    <cellStyle name="Normal 6 2 5 3" xfId="22037" xr:uid="{00000000-0005-0000-0000-00000E600000}"/>
    <cellStyle name="Normal 6 2 5 3 2" xfId="22038" xr:uid="{00000000-0005-0000-0000-00000F600000}"/>
    <cellStyle name="Normal 6 2 5 4" xfId="22039" xr:uid="{00000000-0005-0000-0000-000010600000}"/>
    <cellStyle name="Normal 6 2 6" xfId="22040" xr:uid="{00000000-0005-0000-0000-000011600000}"/>
    <cellStyle name="Normal 6 2 6 2" xfId="22041" xr:uid="{00000000-0005-0000-0000-000012600000}"/>
    <cellStyle name="Normal 6 2 6 2 2" xfId="22042" xr:uid="{00000000-0005-0000-0000-000013600000}"/>
    <cellStyle name="Normal 6 2 6 3" xfId="22043" xr:uid="{00000000-0005-0000-0000-000014600000}"/>
    <cellStyle name="Normal 6 2 6 3 2" xfId="22044" xr:uid="{00000000-0005-0000-0000-000015600000}"/>
    <cellStyle name="Normal 6 2 6 4" xfId="22045" xr:uid="{00000000-0005-0000-0000-000016600000}"/>
    <cellStyle name="Normal 6 2 7" xfId="22046" xr:uid="{00000000-0005-0000-0000-000017600000}"/>
    <cellStyle name="Normal 6 2 7 2" xfId="22047" xr:uid="{00000000-0005-0000-0000-000018600000}"/>
    <cellStyle name="Normal 6 2 7 2 2" xfId="22048" xr:uid="{00000000-0005-0000-0000-000019600000}"/>
    <cellStyle name="Normal 6 2 7 3" xfId="22049" xr:uid="{00000000-0005-0000-0000-00001A600000}"/>
    <cellStyle name="Normal 6 2 7 3 2" xfId="22050" xr:uid="{00000000-0005-0000-0000-00001B600000}"/>
    <cellStyle name="Normal 6 2 7 4" xfId="22051" xr:uid="{00000000-0005-0000-0000-00001C600000}"/>
    <cellStyle name="Normal 6 2 8" xfId="22052" xr:uid="{00000000-0005-0000-0000-00001D600000}"/>
    <cellStyle name="Normal 6 2 8 2" xfId="22053" xr:uid="{00000000-0005-0000-0000-00001E600000}"/>
    <cellStyle name="Normal 6 2 8 2 2" xfId="22054" xr:uid="{00000000-0005-0000-0000-00001F600000}"/>
    <cellStyle name="Normal 6 2 8 3" xfId="22055" xr:uid="{00000000-0005-0000-0000-000020600000}"/>
    <cellStyle name="Normal 6 2 8 3 2" xfId="22056" xr:uid="{00000000-0005-0000-0000-000021600000}"/>
    <cellStyle name="Normal 6 2 8 4" xfId="22057" xr:uid="{00000000-0005-0000-0000-000022600000}"/>
    <cellStyle name="Normal 6 2 9" xfId="22058" xr:uid="{00000000-0005-0000-0000-000023600000}"/>
    <cellStyle name="Normal 6 2 9 2" xfId="22059" xr:uid="{00000000-0005-0000-0000-000024600000}"/>
    <cellStyle name="Normal 6 2 9 2 2" xfId="22060" xr:uid="{00000000-0005-0000-0000-000025600000}"/>
    <cellStyle name="Normal 6 2 9 3" xfId="22061" xr:uid="{00000000-0005-0000-0000-000026600000}"/>
    <cellStyle name="Normal 6 2 9 3 2" xfId="22062" xr:uid="{00000000-0005-0000-0000-000027600000}"/>
    <cellStyle name="Normal 6 2 9 4" xfId="22063" xr:uid="{00000000-0005-0000-0000-000028600000}"/>
    <cellStyle name="Normal 6 20" xfId="1219" xr:uid="{00000000-0005-0000-0000-000029600000}"/>
    <cellStyle name="Normal 6 20 2" xfId="4089" xr:uid="{00000000-0005-0000-0000-00002A600000}"/>
    <cellStyle name="Normal 6 21" xfId="1229" xr:uid="{00000000-0005-0000-0000-00002B600000}"/>
    <cellStyle name="Normal 6 21 2" xfId="4099" xr:uid="{00000000-0005-0000-0000-00002C600000}"/>
    <cellStyle name="Normal 6 22" xfId="1239" xr:uid="{00000000-0005-0000-0000-00002D600000}"/>
    <cellStyle name="Normal 6 22 2" xfId="4109" xr:uid="{00000000-0005-0000-0000-00002E600000}"/>
    <cellStyle name="Normal 6 23" xfId="1249" xr:uid="{00000000-0005-0000-0000-00002F600000}"/>
    <cellStyle name="Normal 6 23 2" xfId="4119" xr:uid="{00000000-0005-0000-0000-000030600000}"/>
    <cellStyle name="Normal 6 24" xfId="1259" xr:uid="{00000000-0005-0000-0000-000031600000}"/>
    <cellStyle name="Normal 6 24 2" xfId="4129" xr:uid="{00000000-0005-0000-0000-000032600000}"/>
    <cellStyle name="Normal 6 25" xfId="1267" xr:uid="{00000000-0005-0000-0000-000033600000}"/>
    <cellStyle name="Normal 6 25 2" xfId="4137" xr:uid="{00000000-0005-0000-0000-000034600000}"/>
    <cellStyle name="Normal 6 3" xfId="1049" xr:uid="{00000000-0005-0000-0000-000035600000}"/>
    <cellStyle name="Normal 6 3 2" xfId="3919" xr:uid="{00000000-0005-0000-0000-000036600000}"/>
    <cellStyle name="Normal 6 3 2 2" xfId="22065" xr:uid="{00000000-0005-0000-0000-000037600000}"/>
    <cellStyle name="Normal 6 3 2 3" xfId="22064" xr:uid="{00000000-0005-0000-0000-000038600000}"/>
    <cellStyle name="Normal 6 3 3" xfId="4992" xr:uid="{00000000-0005-0000-0000-000039600000}"/>
    <cellStyle name="Normal 6 3 3 2" xfId="22066" xr:uid="{00000000-0005-0000-0000-00003A600000}"/>
    <cellStyle name="Normal 6 3 4" xfId="22067" xr:uid="{00000000-0005-0000-0000-00003B600000}"/>
    <cellStyle name="Normal 6 3 4 2" xfId="22068" xr:uid="{00000000-0005-0000-0000-00003C600000}"/>
    <cellStyle name="Normal 6 3 5" xfId="22069" xr:uid="{00000000-0005-0000-0000-00003D600000}"/>
    <cellStyle name="Normal 6 3 5 2" xfId="22070" xr:uid="{00000000-0005-0000-0000-00003E600000}"/>
    <cellStyle name="Normal 6 4" xfId="1059" xr:uid="{00000000-0005-0000-0000-00003F600000}"/>
    <cellStyle name="Normal 6 4 2" xfId="3929" xr:uid="{00000000-0005-0000-0000-000040600000}"/>
    <cellStyle name="Normal 6 4 2 2" xfId="22073" xr:uid="{00000000-0005-0000-0000-000041600000}"/>
    <cellStyle name="Normal 6 4 2 3" xfId="22072" xr:uid="{00000000-0005-0000-0000-000042600000}"/>
    <cellStyle name="Normal 6 4 3" xfId="22074" xr:uid="{00000000-0005-0000-0000-000043600000}"/>
    <cellStyle name="Normal 6 4 3 2" xfId="22075" xr:uid="{00000000-0005-0000-0000-000044600000}"/>
    <cellStyle name="Normal 6 4 4" xfId="22076" xr:uid="{00000000-0005-0000-0000-000045600000}"/>
    <cellStyle name="Normal 6 4 5" xfId="22071" xr:uid="{00000000-0005-0000-0000-000046600000}"/>
    <cellStyle name="Normal 6 4 6" xfId="24545" xr:uid="{00000000-0005-0000-0000-000047600000}"/>
    <cellStyle name="Normal 6 5" xfId="1069" xr:uid="{00000000-0005-0000-0000-000048600000}"/>
    <cellStyle name="Normal 6 5 2" xfId="3939" xr:uid="{00000000-0005-0000-0000-000049600000}"/>
    <cellStyle name="Normal 6 5 2 2" xfId="22079" xr:uid="{00000000-0005-0000-0000-00004A600000}"/>
    <cellStyle name="Normal 6 5 2 3" xfId="22078" xr:uid="{00000000-0005-0000-0000-00004B600000}"/>
    <cellStyle name="Normal 6 5 3" xfId="22080" xr:uid="{00000000-0005-0000-0000-00004C600000}"/>
    <cellStyle name="Normal 6 5 3 2" xfId="22081" xr:uid="{00000000-0005-0000-0000-00004D600000}"/>
    <cellStyle name="Normal 6 5 4" xfId="22082" xr:uid="{00000000-0005-0000-0000-00004E600000}"/>
    <cellStyle name="Normal 6 5 5" xfId="22077" xr:uid="{00000000-0005-0000-0000-00004F600000}"/>
    <cellStyle name="Normal 6 6" xfId="1079" xr:uid="{00000000-0005-0000-0000-000050600000}"/>
    <cellStyle name="Normal 6 6 2" xfId="3949" xr:uid="{00000000-0005-0000-0000-000051600000}"/>
    <cellStyle name="Normal 6 6 2 2" xfId="22085" xr:uid="{00000000-0005-0000-0000-000052600000}"/>
    <cellStyle name="Normal 6 6 2 3" xfId="22084" xr:uid="{00000000-0005-0000-0000-000053600000}"/>
    <cellStyle name="Normal 6 6 3" xfId="22086" xr:uid="{00000000-0005-0000-0000-000054600000}"/>
    <cellStyle name="Normal 6 6 3 2" xfId="22087" xr:uid="{00000000-0005-0000-0000-000055600000}"/>
    <cellStyle name="Normal 6 6 4" xfId="22088" xr:uid="{00000000-0005-0000-0000-000056600000}"/>
    <cellStyle name="Normal 6 6 5" xfId="22083" xr:uid="{00000000-0005-0000-0000-000057600000}"/>
    <cellStyle name="Normal 6 7" xfId="1089" xr:uid="{00000000-0005-0000-0000-000058600000}"/>
    <cellStyle name="Normal 6 7 2" xfId="3959" xr:uid="{00000000-0005-0000-0000-000059600000}"/>
    <cellStyle name="Normal 6 7 2 2" xfId="22091" xr:uid="{00000000-0005-0000-0000-00005A600000}"/>
    <cellStyle name="Normal 6 7 2 3" xfId="22090" xr:uid="{00000000-0005-0000-0000-00005B600000}"/>
    <cellStyle name="Normal 6 7 3" xfId="22092" xr:uid="{00000000-0005-0000-0000-00005C600000}"/>
    <cellStyle name="Normal 6 7 3 2" xfId="22093" xr:uid="{00000000-0005-0000-0000-00005D600000}"/>
    <cellStyle name="Normal 6 7 4" xfId="22094" xr:uid="{00000000-0005-0000-0000-00005E600000}"/>
    <cellStyle name="Normal 6 7 5" xfId="22089" xr:uid="{00000000-0005-0000-0000-00005F600000}"/>
    <cellStyle name="Normal 6 8" xfId="1099" xr:uid="{00000000-0005-0000-0000-000060600000}"/>
    <cellStyle name="Normal 6 8 2" xfId="3969" xr:uid="{00000000-0005-0000-0000-000061600000}"/>
    <cellStyle name="Normal 6 8 2 2" xfId="22097" xr:uid="{00000000-0005-0000-0000-000062600000}"/>
    <cellStyle name="Normal 6 8 2 3" xfId="22096" xr:uid="{00000000-0005-0000-0000-000063600000}"/>
    <cellStyle name="Normal 6 8 3" xfId="22098" xr:uid="{00000000-0005-0000-0000-000064600000}"/>
    <cellStyle name="Normal 6 8 3 2" xfId="22099" xr:uid="{00000000-0005-0000-0000-000065600000}"/>
    <cellStyle name="Normal 6 8 4" xfId="22100" xr:uid="{00000000-0005-0000-0000-000066600000}"/>
    <cellStyle name="Normal 6 8 5" xfId="22095" xr:uid="{00000000-0005-0000-0000-000067600000}"/>
    <cellStyle name="Normal 6 9" xfId="1109" xr:uid="{00000000-0005-0000-0000-000068600000}"/>
    <cellStyle name="Normal 6 9 2" xfId="3979" xr:uid="{00000000-0005-0000-0000-000069600000}"/>
    <cellStyle name="Normal 6 9 2 2" xfId="22103" xr:uid="{00000000-0005-0000-0000-00006A600000}"/>
    <cellStyle name="Normal 6 9 2 3" xfId="22102" xr:uid="{00000000-0005-0000-0000-00006B600000}"/>
    <cellStyle name="Normal 6 9 3" xfId="22104" xr:uid="{00000000-0005-0000-0000-00006C600000}"/>
    <cellStyle name="Normal 6 9 3 2" xfId="22105" xr:uid="{00000000-0005-0000-0000-00006D600000}"/>
    <cellStyle name="Normal 6 9 4" xfId="22106" xr:uid="{00000000-0005-0000-0000-00006E600000}"/>
    <cellStyle name="Normal 6 9 5" xfId="22101" xr:uid="{00000000-0005-0000-0000-00006F600000}"/>
    <cellStyle name="Normal 7" xfId="64" xr:uid="{00000000-0005-0000-0000-000070600000}"/>
    <cellStyle name="Normal 7 10" xfId="1116" xr:uid="{00000000-0005-0000-0000-000071600000}"/>
    <cellStyle name="Normal 7 10 2" xfId="3986" xr:uid="{00000000-0005-0000-0000-000072600000}"/>
    <cellStyle name="Normal 7 10 2 2" xfId="5565" xr:uid="{00000000-0005-0000-0000-000073600000}"/>
    <cellStyle name="Normal 7 10 2 2 2" xfId="6914" xr:uid="{00000000-0005-0000-0000-000074600000}"/>
    <cellStyle name="Normal 7 10 2 2 2 2" xfId="27749" xr:uid="{00000000-0005-0000-0000-000075600000}"/>
    <cellStyle name="Normal 7 10 2 2 3" xfId="22109" xr:uid="{00000000-0005-0000-0000-000076600000}"/>
    <cellStyle name="Normal 7 10 2 2 4" xfId="27748" xr:uid="{00000000-0005-0000-0000-000077600000}"/>
    <cellStyle name="Normal 7 10 2 3" xfId="22108" xr:uid="{00000000-0005-0000-0000-000078600000}"/>
    <cellStyle name="Normal 7 10 3" xfId="5875" xr:uid="{00000000-0005-0000-0000-000079600000}"/>
    <cellStyle name="Normal 7 10 3 2" xfId="6915" xr:uid="{00000000-0005-0000-0000-00007A600000}"/>
    <cellStyle name="Normal 7 10 3 2 2" xfId="22111" xr:uid="{00000000-0005-0000-0000-00007B600000}"/>
    <cellStyle name="Normal 7 10 3 2 3" xfId="27751" xr:uid="{00000000-0005-0000-0000-00007C600000}"/>
    <cellStyle name="Normal 7 10 3 3" xfId="22110" xr:uid="{00000000-0005-0000-0000-00007D600000}"/>
    <cellStyle name="Normal 7 10 3 4" xfId="27750" xr:uid="{00000000-0005-0000-0000-00007E600000}"/>
    <cellStyle name="Normal 7 10 4" xfId="4994" xr:uid="{00000000-0005-0000-0000-00007F600000}"/>
    <cellStyle name="Normal 7 10 4 2" xfId="6916" xr:uid="{00000000-0005-0000-0000-000080600000}"/>
    <cellStyle name="Normal 7 10 4 2 2" xfId="27753" xr:uid="{00000000-0005-0000-0000-000081600000}"/>
    <cellStyle name="Normal 7 10 4 3" xfId="22112" xr:uid="{00000000-0005-0000-0000-000082600000}"/>
    <cellStyle name="Normal 7 10 4 4" xfId="27752" xr:uid="{00000000-0005-0000-0000-000083600000}"/>
    <cellStyle name="Normal 7 10 5" xfId="22107" xr:uid="{00000000-0005-0000-0000-000084600000}"/>
    <cellStyle name="Normal 7 11" xfId="1126" xr:uid="{00000000-0005-0000-0000-000085600000}"/>
    <cellStyle name="Normal 7 11 2" xfId="3996" xr:uid="{00000000-0005-0000-0000-000086600000}"/>
    <cellStyle name="Normal 7 11 2 2" xfId="22114" xr:uid="{00000000-0005-0000-0000-000087600000}"/>
    <cellStyle name="Normal 7 11 3" xfId="5564" xr:uid="{00000000-0005-0000-0000-000088600000}"/>
    <cellStyle name="Normal 7 11 3 2" xfId="6917" xr:uid="{00000000-0005-0000-0000-000089600000}"/>
    <cellStyle name="Normal 7 11 3 2 2" xfId="27755" xr:uid="{00000000-0005-0000-0000-00008A600000}"/>
    <cellStyle name="Normal 7 11 3 3" xfId="27754" xr:uid="{00000000-0005-0000-0000-00008B600000}"/>
    <cellStyle name="Normal 7 11 4" xfId="22113" xr:uid="{00000000-0005-0000-0000-00008C600000}"/>
    <cellStyle name="Normal 7 12" xfId="1136" xr:uid="{00000000-0005-0000-0000-00008D600000}"/>
    <cellStyle name="Normal 7 12 2" xfId="4006" xr:uid="{00000000-0005-0000-0000-00008E600000}"/>
    <cellStyle name="Normal 7 12 3" xfId="5874" xr:uid="{00000000-0005-0000-0000-00008F600000}"/>
    <cellStyle name="Normal 7 12 3 2" xfId="6918" xr:uid="{00000000-0005-0000-0000-000090600000}"/>
    <cellStyle name="Normal 7 12 3 2 2" xfId="27757" xr:uid="{00000000-0005-0000-0000-000091600000}"/>
    <cellStyle name="Normal 7 12 3 3" xfId="27756" xr:uid="{00000000-0005-0000-0000-000092600000}"/>
    <cellStyle name="Normal 7 12 4" xfId="22115" xr:uid="{00000000-0005-0000-0000-000093600000}"/>
    <cellStyle name="Normal 7 13" xfId="1146" xr:uid="{00000000-0005-0000-0000-000094600000}"/>
    <cellStyle name="Normal 7 13 2" xfId="4016" xr:uid="{00000000-0005-0000-0000-000095600000}"/>
    <cellStyle name="Normal 7 14" xfId="1161" xr:uid="{00000000-0005-0000-0000-000096600000}"/>
    <cellStyle name="Normal 7 14 2" xfId="4031" xr:uid="{00000000-0005-0000-0000-000097600000}"/>
    <cellStyle name="Normal 7 15" xfId="1166" xr:uid="{00000000-0005-0000-0000-000098600000}"/>
    <cellStyle name="Normal 7 15 2" xfId="4036" xr:uid="{00000000-0005-0000-0000-000099600000}"/>
    <cellStyle name="Normal 7 16" xfId="1176" xr:uid="{00000000-0005-0000-0000-00009A600000}"/>
    <cellStyle name="Normal 7 16 2" xfId="4046" xr:uid="{00000000-0005-0000-0000-00009B600000}"/>
    <cellStyle name="Normal 7 17" xfId="1186" xr:uid="{00000000-0005-0000-0000-00009C600000}"/>
    <cellStyle name="Normal 7 17 2" xfId="4056" xr:uid="{00000000-0005-0000-0000-00009D600000}"/>
    <cellStyle name="Normal 7 18" xfId="1196" xr:uid="{00000000-0005-0000-0000-00009E600000}"/>
    <cellStyle name="Normal 7 18 2" xfId="4066" xr:uid="{00000000-0005-0000-0000-00009F600000}"/>
    <cellStyle name="Normal 7 19" xfId="1206" xr:uid="{00000000-0005-0000-0000-0000A0600000}"/>
    <cellStyle name="Normal 7 19 2" xfId="4076" xr:uid="{00000000-0005-0000-0000-0000A1600000}"/>
    <cellStyle name="Normal 7 2" xfId="1039" xr:uid="{00000000-0005-0000-0000-0000A2600000}"/>
    <cellStyle name="Normal 7 2 10" xfId="24547" xr:uid="{00000000-0005-0000-0000-0000A3600000}"/>
    <cellStyle name="Normal 7 2 2" xfId="3718" xr:uid="{00000000-0005-0000-0000-0000A4600000}"/>
    <cellStyle name="Normal 7 2 2 10" xfId="24940" xr:uid="{00000000-0005-0000-0000-0000A5600000}"/>
    <cellStyle name="Normal 7 2 2 11" xfId="27758" xr:uid="{00000000-0005-0000-0000-0000A6600000}"/>
    <cellStyle name="Normal 7 2 2 2" xfId="4208" xr:uid="{00000000-0005-0000-0000-0000A7600000}"/>
    <cellStyle name="Normal 7 2 2 2 2" xfId="4998" xr:uid="{00000000-0005-0000-0000-0000A8600000}"/>
    <cellStyle name="Normal 7 2 2 2 2 2" xfId="5569" xr:uid="{00000000-0005-0000-0000-0000A9600000}"/>
    <cellStyle name="Normal 7 2 2 2 2 2 2" xfId="6922" xr:uid="{00000000-0005-0000-0000-0000AA600000}"/>
    <cellStyle name="Normal 7 2 2 2 2 2 2 2" xfId="22121" xr:uid="{00000000-0005-0000-0000-0000AB600000}"/>
    <cellStyle name="Normal 7 2 2 2 2 2 2 3" xfId="27762" xr:uid="{00000000-0005-0000-0000-0000AC600000}"/>
    <cellStyle name="Normal 7 2 2 2 2 2 3" xfId="22120" xr:uid="{00000000-0005-0000-0000-0000AD600000}"/>
    <cellStyle name="Normal 7 2 2 2 2 2 4" xfId="27761" xr:uid="{00000000-0005-0000-0000-0000AE600000}"/>
    <cellStyle name="Normal 7 2 2 2 2 3" xfId="5879" xr:uid="{00000000-0005-0000-0000-0000AF600000}"/>
    <cellStyle name="Normal 7 2 2 2 2 3 2" xfId="6923" xr:uid="{00000000-0005-0000-0000-0000B0600000}"/>
    <cellStyle name="Normal 7 2 2 2 2 3 2 2" xfId="22123" xr:uid="{00000000-0005-0000-0000-0000B1600000}"/>
    <cellStyle name="Normal 7 2 2 2 2 3 2 3" xfId="27764" xr:uid="{00000000-0005-0000-0000-0000B2600000}"/>
    <cellStyle name="Normal 7 2 2 2 2 3 3" xfId="22122" xr:uid="{00000000-0005-0000-0000-0000B3600000}"/>
    <cellStyle name="Normal 7 2 2 2 2 3 4" xfId="27763" xr:uid="{00000000-0005-0000-0000-0000B4600000}"/>
    <cellStyle name="Normal 7 2 2 2 2 4" xfId="6921" xr:uid="{00000000-0005-0000-0000-0000B5600000}"/>
    <cellStyle name="Normal 7 2 2 2 2 4 2" xfId="22124" xr:uid="{00000000-0005-0000-0000-0000B6600000}"/>
    <cellStyle name="Normal 7 2 2 2 2 4 3" xfId="27765" xr:uid="{00000000-0005-0000-0000-0000B7600000}"/>
    <cellStyle name="Normal 7 2 2 2 2 5" xfId="22119" xr:uid="{00000000-0005-0000-0000-0000B8600000}"/>
    <cellStyle name="Normal 7 2 2 2 2 6" xfId="27760" xr:uid="{00000000-0005-0000-0000-0000B9600000}"/>
    <cellStyle name="Normal 7 2 2 2 3" xfId="5568" xr:uid="{00000000-0005-0000-0000-0000BA600000}"/>
    <cellStyle name="Normal 7 2 2 2 3 2" xfId="6924" xr:uid="{00000000-0005-0000-0000-0000BB600000}"/>
    <cellStyle name="Normal 7 2 2 2 3 2 2" xfId="22126" xr:uid="{00000000-0005-0000-0000-0000BC600000}"/>
    <cellStyle name="Normal 7 2 2 2 3 2 3" xfId="27767" xr:uid="{00000000-0005-0000-0000-0000BD600000}"/>
    <cellStyle name="Normal 7 2 2 2 3 3" xfId="22125" xr:uid="{00000000-0005-0000-0000-0000BE600000}"/>
    <cellStyle name="Normal 7 2 2 2 3 4" xfId="27766" xr:uid="{00000000-0005-0000-0000-0000BF600000}"/>
    <cellStyle name="Normal 7 2 2 2 4" xfId="5878" xr:uid="{00000000-0005-0000-0000-0000C0600000}"/>
    <cellStyle name="Normal 7 2 2 2 4 2" xfId="6925" xr:uid="{00000000-0005-0000-0000-0000C1600000}"/>
    <cellStyle name="Normal 7 2 2 2 4 2 2" xfId="22128" xr:uid="{00000000-0005-0000-0000-0000C2600000}"/>
    <cellStyle name="Normal 7 2 2 2 4 2 3" xfId="27769" xr:uid="{00000000-0005-0000-0000-0000C3600000}"/>
    <cellStyle name="Normal 7 2 2 2 4 3" xfId="22127" xr:uid="{00000000-0005-0000-0000-0000C4600000}"/>
    <cellStyle name="Normal 7 2 2 2 4 4" xfId="27768" xr:uid="{00000000-0005-0000-0000-0000C5600000}"/>
    <cellStyle name="Normal 7 2 2 2 5" xfId="4997" xr:uid="{00000000-0005-0000-0000-0000C6600000}"/>
    <cellStyle name="Normal 7 2 2 2 5 2" xfId="6926" xr:uid="{00000000-0005-0000-0000-0000C7600000}"/>
    <cellStyle name="Normal 7 2 2 2 5 2 2" xfId="27771" xr:uid="{00000000-0005-0000-0000-0000C8600000}"/>
    <cellStyle name="Normal 7 2 2 2 5 3" xfId="22129" xr:uid="{00000000-0005-0000-0000-0000C9600000}"/>
    <cellStyle name="Normal 7 2 2 2 5 4" xfId="27770" xr:uid="{00000000-0005-0000-0000-0000CA600000}"/>
    <cellStyle name="Normal 7 2 2 2 6" xfId="6920" xr:uid="{00000000-0005-0000-0000-0000CB600000}"/>
    <cellStyle name="Normal 7 2 2 2 6 2" xfId="27772" xr:uid="{00000000-0005-0000-0000-0000CC600000}"/>
    <cellStyle name="Normal 7 2 2 2 7" xfId="22118" xr:uid="{00000000-0005-0000-0000-0000CD600000}"/>
    <cellStyle name="Normal 7 2 2 2 8" xfId="25060" xr:uid="{00000000-0005-0000-0000-0000CE600000}"/>
    <cellStyle name="Normal 7 2 2 2 9" xfId="27759" xr:uid="{00000000-0005-0000-0000-0000CF600000}"/>
    <cellStyle name="Normal 7 2 2 3" xfId="4999" xr:uid="{00000000-0005-0000-0000-0000D0600000}"/>
    <cellStyle name="Normal 7 2 2 3 2" xfId="5570" xr:uid="{00000000-0005-0000-0000-0000D1600000}"/>
    <cellStyle name="Normal 7 2 2 3 2 2" xfId="6928" xr:uid="{00000000-0005-0000-0000-0000D2600000}"/>
    <cellStyle name="Normal 7 2 2 3 2 2 2" xfId="22132" xr:uid="{00000000-0005-0000-0000-0000D3600000}"/>
    <cellStyle name="Normal 7 2 2 3 2 2 3" xfId="27775" xr:uid="{00000000-0005-0000-0000-0000D4600000}"/>
    <cellStyle name="Normal 7 2 2 3 2 3" xfId="22131" xr:uid="{00000000-0005-0000-0000-0000D5600000}"/>
    <cellStyle name="Normal 7 2 2 3 2 4" xfId="27774" xr:uid="{00000000-0005-0000-0000-0000D6600000}"/>
    <cellStyle name="Normal 7 2 2 3 3" xfId="5880" xr:uid="{00000000-0005-0000-0000-0000D7600000}"/>
    <cellStyle name="Normal 7 2 2 3 3 2" xfId="6929" xr:uid="{00000000-0005-0000-0000-0000D8600000}"/>
    <cellStyle name="Normal 7 2 2 3 3 2 2" xfId="22134" xr:uid="{00000000-0005-0000-0000-0000D9600000}"/>
    <cellStyle name="Normal 7 2 2 3 3 2 3" xfId="27777" xr:uid="{00000000-0005-0000-0000-0000DA600000}"/>
    <cellStyle name="Normal 7 2 2 3 3 3" xfId="22133" xr:uid="{00000000-0005-0000-0000-0000DB600000}"/>
    <cellStyle name="Normal 7 2 2 3 3 4" xfId="27776" xr:uid="{00000000-0005-0000-0000-0000DC600000}"/>
    <cellStyle name="Normal 7 2 2 3 4" xfId="6927" xr:uid="{00000000-0005-0000-0000-0000DD600000}"/>
    <cellStyle name="Normal 7 2 2 3 4 2" xfId="22135" xr:uid="{00000000-0005-0000-0000-0000DE600000}"/>
    <cellStyle name="Normal 7 2 2 3 4 3" xfId="27778" xr:uid="{00000000-0005-0000-0000-0000DF600000}"/>
    <cellStyle name="Normal 7 2 2 3 5" xfId="22130" xr:uid="{00000000-0005-0000-0000-0000E0600000}"/>
    <cellStyle name="Normal 7 2 2 3 6" xfId="27773" xr:uid="{00000000-0005-0000-0000-0000E1600000}"/>
    <cellStyle name="Normal 7 2 2 4" xfId="5567" xr:uid="{00000000-0005-0000-0000-0000E2600000}"/>
    <cellStyle name="Normal 7 2 2 4 2" xfId="6930" xr:uid="{00000000-0005-0000-0000-0000E3600000}"/>
    <cellStyle name="Normal 7 2 2 4 2 2" xfId="22137" xr:uid="{00000000-0005-0000-0000-0000E4600000}"/>
    <cellStyle name="Normal 7 2 2 4 2 3" xfId="27780" xr:uid="{00000000-0005-0000-0000-0000E5600000}"/>
    <cellStyle name="Normal 7 2 2 4 3" xfId="22136" xr:uid="{00000000-0005-0000-0000-0000E6600000}"/>
    <cellStyle name="Normal 7 2 2 4 4" xfId="27779" xr:uid="{00000000-0005-0000-0000-0000E7600000}"/>
    <cellStyle name="Normal 7 2 2 5" xfId="5877" xr:uid="{00000000-0005-0000-0000-0000E8600000}"/>
    <cellStyle name="Normal 7 2 2 5 2" xfId="6931" xr:uid="{00000000-0005-0000-0000-0000E9600000}"/>
    <cellStyle name="Normal 7 2 2 5 2 2" xfId="22139" xr:uid="{00000000-0005-0000-0000-0000EA600000}"/>
    <cellStyle name="Normal 7 2 2 5 2 3" xfId="27782" xr:uid="{00000000-0005-0000-0000-0000EB600000}"/>
    <cellStyle name="Normal 7 2 2 5 3" xfId="22138" xr:uid="{00000000-0005-0000-0000-0000EC600000}"/>
    <cellStyle name="Normal 7 2 2 5 4" xfId="27781" xr:uid="{00000000-0005-0000-0000-0000ED600000}"/>
    <cellStyle name="Normal 7 2 2 6" xfId="4996" xr:uid="{00000000-0005-0000-0000-0000EE600000}"/>
    <cellStyle name="Normal 7 2 2 6 2" xfId="6932" xr:uid="{00000000-0005-0000-0000-0000EF600000}"/>
    <cellStyle name="Normal 7 2 2 6 2 2" xfId="27784" xr:uid="{00000000-0005-0000-0000-0000F0600000}"/>
    <cellStyle name="Normal 7 2 2 6 3" xfId="22140" xr:uid="{00000000-0005-0000-0000-0000F1600000}"/>
    <cellStyle name="Normal 7 2 2 6 4" xfId="27783" xr:uid="{00000000-0005-0000-0000-0000F2600000}"/>
    <cellStyle name="Normal 7 2 2 7" xfId="6919" xr:uid="{00000000-0005-0000-0000-0000F3600000}"/>
    <cellStyle name="Normal 7 2 2 7 2" xfId="27785" xr:uid="{00000000-0005-0000-0000-0000F4600000}"/>
    <cellStyle name="Normal 7 2 2 8" xfId="22117" xr:uid="{00000000-0005-0000-0000-0000F5600000}"/>
    <cellStyle name="Normal 7 2 2 9" xfId="24805" xr:uid="{00000000-0005-0000-0000-0000F6600000}"/>
    <cellStyle name="Normal 7 2 2 9 2" xfId="27786" xr:uid="{00000000-0005-0000-0000-0000F7600000}"/>
    <cellStyle name="Normal 7 2 3" xfId="1443" xr:uid="{00000000-0005-0000-0000-0000F8600000}"/>
    <cellStyle name="Normal 7 2 3 10" xfId="27787" xr:uid="{00000000-0005-0000-0000-0000F9600000}"/>
    <cellStyle name="Normal 7 2 3 2" xfId="4185" xr:uid="{00000000-0005-0000-0000-0000FA600000}"/>
    <cellStyle name="Normal 7 2 3 2 2" xfId="5572" xr:uid="{00000000-0005-0000-0000-0000FB600000}"/>
    <cellStyle name="Normal 7 2 3 2 2 2" xfId="6935" xr:uid="{00000000-0005-0000-0000-0000FC600000}"/>
    <cellStyle name="Normal 7 2 3 2 2 2 2" xfId="22144" xr:uid="{00000000-0005-0000-0000-0000FD600000}"/>
    <cellStyle name="Normal 7 2 3 2 2 2 3" xfId="27790" xr:uid="{00000000-0005-0000-0000-0000FE600000}"/>
    <cellStyle name="Normal 7 2 3 2 2 3" xfId="22143" xr:uid="{00000000-0005-0000-0000-0000FF600000}"/>
    <cellStyle name="Normal 7 2 3 2 2 4" xfId="27789" xr:uid="{00000000-0005-0000-0000-000000610000}"/>
    <cellStyle name="Normal 7 2 3 2 3" xfId="5882" xr:uid="{00000000-0005-0000-0000-000001610000}"/>
    <cellStyle name="Normal 7 2 3 2 3 2" xfId="6936" xr:uid="{00000000-0005-0000-0000-000002610000}"/>
    <cellStyle name="Normal 7 2 3 2 3 2 2" xfId="22146" xr:uid="{00000000-0005-0000-0000-000003610000}"/>
    <cellStyle name="Normal 7 2 3 2 3 2 3" xfId="27792" xr:uid="{00000000-0005-0000-0000-000004610000}"/>
    <cellStyle name="Normal 7 2 3 2 3 3" xfId="22145" xr:uid="{00000000-0005-0000-0000-000005610000}"/>
    <cellStyle name="Normal 7 2 3 2 3 4" xfId="27791" xr:uid="{00000000-0005-0000-0000-000006610000}"/>
    <cellStyle name="Normal 7 2 3 2 4" xfId="5001" xr:uid="{00000000-0005-0000-0000-000007610000}"/>
    <cellStyle name="Normal 7 2 3 2 4 2" xfId="6937" xr:uid="{00000000-0005-0000-0000-000008610000}"/>
    <cellStyle name="Normal 7 2 3 2 4 2 2" xfId="27794" xr:uid="{00000000-0005-0000-0000-000009610000}"/>
    <cellStyle name="Normal 7 2 3 2 4 3" xfId="22147" xr:uid="{00000000-0005-0000-0000-00000A610000}"/>
    <cellStyle name="Normal 7 2 3 2 4 4" xfId="27793" xr:uid="{00000000-0005-0000-0000-00000B610000}"/>
    <cellStyle name="Normal 7 2 3 2 5" xfId="6934" xr:uid="{00000000-0005-0000-0000-00000C610000}"/>
    <cellStyle name="Normal 7 2 3 2 5 2" xfId="27795" xr:uid="{00000000-0005-0000-0000-00000D610000}"/>
    <cellStyle name="Normal 7 2 3 2 6" xfId="22142" xr:uid="{00000000-0005-0000-0000-00000E610000}"/>
    <cellStyle name="Normal 7 2 3 2 7" xfId="25037" xr:uid="{00000000-0005-0000-0000-00000F610000}"/>
    <cellStyle name="Normal 7 2 3 2 8" xfId="27788" xr:uid="{00000000-0005-0000-0000-000010610000}"/>
    <cellStyle name="Normal 7 2 3 3" xfId="5571" xr:uid="{00000000-0005-0000-0000-000011610000}"/>
    <cellStyle name="Normal 7 2 3 3 2" xfId="6938" xr:uid="{00000000-0005-0000-0000-000012610000}"/>
    <cellStyle name="Normal 7 2 3 3 2 2" xfId="22149" xr:uid="{00000000-0005-0000-0000-000013610000}"/>
    <cellStyle name="Normal 7 2 3 3 2 3" xfId="27797" xr:uid="{00000000-0005-0000-0000-000014610000}"/>
    <cellStyle name="Normal 7 2 3 3 3" xfId="22148" xr:uid="{00000000-0005-0000-0000-000015610000}"/>
    <cellStyle name="Normal 7 2 3 3 4" xfId="27796" xr:uid="{00000000-0005-0000-0000-000016610000}"/>
    <cellStyle name="Normal 7 2 3 4" xfId="5881" xr:uid="{00000000-0005-0000-0000-000017610000}"/>
    <cellStyle name="Normal 7 2 3 4 2" xfId="6939" xr:uid="{00000000-0005-0000-0000-000018610000}"/>
    <cellStyle name="Normal 7 2 3 4 2 2" xfId="22151" xr:uid="{00000000-0005-0000-0000-000019610000}"/>
    <cellStyle name="Normal 7 2 3 4 2 3" xfId="27799" xr:uid="{00000000-0005-0000-0000-00001A610000}"/>
    <cellStyle name="Normal 7 2 3 4 3" xfId="22150" xr:uid="{00000000-0005-0000-0000-00001B610000}"/>
    <cellStyle name="Normal 7 2 3 4 4" xfId="27798" xr:uid="{00000000-0005-0000-0000-00001C610000}"/>
    <cellStyle name="Normal 7 2 3 5" xfId="5000" xr:uid="{00000000-0005-0000-0000-00001D610000}"/>
    <cellStyle name="Normal 7 2 3 5 2" xfId="6940" xr:uid="{00000000-0005-0000-0000-00001E610000}"/>
    <cellStyle name="Normal 7 2 3 5 2 2" xfId="27801" xr:uid="{00000000-0005-0000-0000-00001F610000}"/>
    <cellStyle name="Normal 7 2 3 5 3" xfId="22152" xr:uid="{00000000-0005-0000-0000-000020610000}"/>
    <cellStyle name="Normal 7 2 3 5 4" xfId="27800" xr:uid="{00000000-0005-0000-0000-000021610000}"/>
    <cellStyle name="Normal 7 2 3 6" xfId="6933" xr:uid="{00000000-0005-0000-0000-000022610000}"/>
    <cellStyle name="Normal 7 2 3 6 2" xfId="27802" xr:uid="{00000000-0005-0000-0000-000023610000}"/>
    <cellStyle name="Normal 7 2 3 7" xfId="22141" xr:uid="{00000000-0005-0000-0000-000024610000}"/>
    <cellStyle name="Normal 7 2 3 8" xfId="24806" xr:uid="{00000000-0005-0000-0000-000025610000}"/>
    <cellStyle name="Normal 7 2 3 8 2" xfId="27803" xr:uid="{00000000-0005-0000-0000-000026610000}"/>
    <cellStyle name="Normal 7 2 3 9" xfId="24917" xr:uid="{00000000-0005-0000-0000-000027610000}"/>
    <cellStyle name="Normal 7 2 4" xfId="3906" xr:uid="{00000000-0005-0000-0000-000028610000}"/>
    <cellStyle name="Normal 7 2 4 2" xfId="5573" xr:uid="{00000000-0005-0000-0000-000029610000}"/>
    <cellStyle name="Normal 7 2 4 2 2" xfId="6941" xr:uid="{00000000-0005-0000-0000-00002A610000}"/>
    <cellStyle name="Normal 7 2 4 2 2 2" xfId="22156" xr:uid="{00000000-0005-0000-0000-00002B610000}"/>
    <cellStyle name="Normal 7 2 4 2 2 3" xfId="22155" xr:uid="{00000000-0005-0000-0000-00002C610000}"/>
    <cellStyle name="Normal 7 2 4 2 2 4" xfId="27805" xr:uid="{00000000-0005-0000-0000-00002D610000}"/>
    <cellStyle name="Normal 7 2 4 2 3" xfId="22157" xr:uid="{00000000-0005-0000-0000-00002E610000}"/>
    <cellStyle name="Normal 7 2 4 2 3 2" xfId="22158" xr:uid="{00000000-0005-0000-0000-00002F610000}"/>
    <cellStyle name="Normal 7 2 4 2 4" xfId="22159" xr:uid="{00000000-0005-0000-0000-000030610000}"/>
    <cellStyle name="Normal 7 2 4 2 5" xfId="22154" xr:uid="{00000000-0005-0000-0000-000031610000}"/>
    <cellStyle name="Normal 7 2 4 2 6" xfId="27804" xr:uid="{00000000-0005-0000-0000-000032610000}"/>
    <cellStyle name="Normal 7 2 4 3" xfId="5883" xr:uid="{00000000-0005-0000-0000-000033610000}"/>
    <cellStyle name="Normal 7 2 4 3 2" xfId="6942" xr:uid="{00000000-0005-0000-0000-000034610000}"/>
    <cellStyle name="Normal 7 2 4 3 2 2" xfId="22161" xr:uid="{00000000-0005-0000-0000-000035610000}"/>
    <cellStyle name="Normal 7 2 4 3 2 3" xfId="27807" xr:uid="{00000000-0005-0000-0000-000036610000}"/>
    <cellStyle name="Normal 7 2 4 3 3" xfId="22160" xr:uid="{00000000-0005-0000-0000-000037610000}"/>
    <cellStyle name="Normal 7 2 4 3 4" xfId="27806" xr:uid="{00000000-0005-0000-0000-000038610000}"/>
    <cellStyle name="Normal 7 2 4 4" xfId="5002" xr:uid="{00000000-0005-0000-0000-000039610000}"/>
    <cellStyle name="Normal 7 2 4 4 2" xfId="6943" xr:uid="{00000000-0005-0000-0000-00003A610000}"/>
    <cellStyle name="Normal 7 2 4 4 2 2" xfId="22163" xr:uid="{00000000-0005-0000-0000-00003B610000}"/>
    <cellStyle name="Normal 7 2 4 4 2 3" xfId="27809" xr:uid="{00000000-0005-0000-0000-00003C610000}"/>
    <cellStyle name="Normal 7 2 4 4 3" xfId="22162" xr:uid="{00000000-0005-0000-0000-00003D610000}"/>
    <cellStyle name="Normal 7 2 4 4 4" xfId="27808" xr:uid="{00000000-0005-0000-0000-00003E610000}"/>
    <cellStyle name="Normal 7 2 4 5" xfId="22164" xr:uid="{00000000-0005-0000-0000-00003F610000}"/>
    <cellStyle name="Normal 7 2 4 6" xfId="22153" xr:uid="{00000000-0005-0000-0000-000040610000}"/>
    <cellStyle name="Normal 7 2 4 7" xfId="24807" xr:uid="{00000000-0005-0000-0000-000041610000}"/>
    <cellStyle name="Normal 7 2 4 7 2" xfId="27810" xr:uid="{00000000-0005-0000-0000-000042610000}"/>
    <cellStyle name="Normal 7 2 5" xfId="5566" xr:uid="{00000000-0005-0000-0000-000043610000}"/>
    <cellStyle name="Normal 7 2 5 2" xfId="6944" xr:uid="{00000000-0005-0000-0000-000044610000}"/>
    <cellStyle name="Normal 7 2 5 2 2" xfId="22167" xr:uid="{00000000-0005-0000-0000-000045610000}"/>
    <cellStyle name="Normal 7 2 5 2 3" xfId="22166" xr:uid="{00000000-0005-0000-0000-000046610000}"/>
    <cellStyle name="Normal 7 2 5 2 4" xfId="27812" xr:uid="{00000000-0005-0000-0000-000047610000}"/>
    <cellStyle name="Normal 7 2 5 3" xfId="22168" xr:uid="{00000000-0005-0000-0000-000048610000}"/>
    <cellStyle name="Normal 7 2 5 3 2" xfId="22169" xr:uid="{00000000-0005-0000-0000-000049610000}"/>
    <cellStyle name="Normal 7 2 5 4" xfId="22170" xr:uid="{00000000-0005-0000-0000-00004A610000}"/>
    <cellStyle name="Normal 7 2 5 5" xfId="22165" xr:uid="{00000000-0005-0000-0000-00004B610000}"/>
    <cellStyle name="Normal 7 2 5 6" xfId="24808" xr:uid="{00000000-0005-0000-0000-00004C610000}"/>
    <cellStyle name="Normal 7 2 5 7" xfId="27811" xr:uid="{00000000-0005-0000-0000-00004D610000}"/>
    <cellStyle name="Normal 7 2 6" xfId="5876" xr:uid="{00000000-0005-0000-0000-00004E610000}"/>
    <cellStyle name="Normal 7 2 6 2" xfId="6945" xr:uid="{00000000-0005-0000-0000-00004F610000}"/>
    <cellStyle name="Normal 7 2 6 2 2" xfId="22172" xr:uid="{00000000-0005-0000-0000-000050610000}"/>
    <cellStyle name="Normal 7 2 6 2 3" xfId="27814" xr:uid="{00000000-0005-0000-0000-000051610000}"/>
    <cellStyle name="Normal 7 2 6 3" xfId="22171" xr:uid="{00000000-0005-0000-0000-000052610000}"/>
    <cellStyle name="Normal 7 2 6 4" xfId="24809" xr:uid="{00000000-0005-0000-0000-000053610000}"/>
    <cellStyle name="Normal 7 2 6 4 2" xfId="27815" xr:uid="{00000000-0005-0000-0000-000054610000}"/>
    <cellStyle name="Normal 7 2 6 5" xfId="27813" xr:uid="{00000000-0005-0000-0000-000055610000}"/>
    <cellStyle name="Normal 7 2 7" xfId="4995" xr:uid="{00000000-0005-0000-0000-000056610000}"/>
    <cellStyle name="Normal 7 2 7 2" xfId="6946" xr:uid="{00000000-0005-0000-0000-000057610000}"/>
    <cellStyle name="Normal 7 2 7 2 2" xfId="22174" xr:uid="{00000000-0005-0000-0000-000058610000}"/>
    <cellStyle name="Normal 7 2 7 2 3" xfId="27817" xr:uid="{00000000-0005-0000-0000-000059610000}"/>
    <cellStyle name="Normal 7 2 7 3" xfId="22173" xr:uid="{00000000-0005-0000-0000-00005A610000}"/>
    <cellStyle name="Normal 7 2 7 4" xfId="27816" xr:uid="{00000000-0005-0000-0000-00005B610000}"/>
    <cellStyle name="Normal 7 2 8" xfId="22175" xr:uid="{00000000-0005-0000-0000-00005C610000}"/>
    <cellStyle name="Normal 7 2 9" xfId="22116" xr:uid="{00000000-0005-0000-0000-00005D610000}"/>
    <cellStyle name="Normal 7 20" xfId="1216" xr:uid="{00000000-0005-0000-0000-00005E610000}"/>
    <cellStyle name="Normal 7 20 2" xfId="4086" xr:uid="{00000000-0005-0000-0000-00005F610000}"/>
    <cellStyle name="Normal 7 21" xfId="1226" xr:uid="{00000000-0005-0000-0000-000060610000}"/>
    <cellStyle name="Normal 7 21 2" xfId="4096" xr:uid="{00000000-0005-0000-0000-000061610000}"/>
    <cellStyle name="Normal 7 22" xfId="1236" xr:uid="{00000000-0005-0000-0000-000062610000}"/>
    <cellStyle name="Normal 7 22 2" xfId="4106" xr:uid="{00000000-0005-0000-0000-000063610000}"/>
    <cellStyle name="Normal 7 23" xfId="1246" xr:uid="{00000000-0005-0000-0000-000064610000}"/>
    <cellStyle name="Normal 7 23 2" xfId="4116" xr:uid="{00000000-0005-0000-0000-000065610000}"/>
    <cellStyle name="Normal 7 24" xfId="1256" xr:uid="{00000000-0005-0000-0000-000066610000}"/>
    <cellStyle name="Normal 7 24 2" xfId="4126" xr:uid="{00000000-0005-0000-0000-000067610000}"/>
    <cellStyle name="Normal 7 25" xfId="1265" xr:uid="{00000000-0005-0000-0000-000068610000}"/>
    <cellStyle name="Normal 7 25 2" xfId="4135" xr:uid="{00000000-0005-0000-0000-000069610000}"/>
    <cellStyle name="Normal 7 26" xfId="906" xr:uid="{00000000-0005-0000-0000-00006A610000}"/>
    <cellStyle name="Normal 7 27" xfId="4993" xr:uid="{00000000-0005-0000-0000-00006B610000}"/>
    <cellStyle name="Normal 7 27 2" xfId="6947" xr:uid="{00000000-0005-0000-0000-00006C610000}"/>
    <cellStyle name="Normal 7 27 2 2" xfId="27819" xr:uid="{00000000-0005-0000-0000-00006D610000}"/>
    <cellStyle name="Normal 7 27 3" xfId="27818" xr:uid="{00000000-0005-0000-0000-00006E610000}"/>
    <cellStyle name="Normal 7 28" xfId="6913" xr:uid="{00000000-0005-0000-0000-00006F610000}"/>
    <cellStyle name="Normal 7 28 2" xfId="27820" xr:uid="{00000000-0005-0000-0000-000070610000}"/>
    <cellStyle name="Normal 7 29" xfId="24546" xr:uid="{00000000-0005-0000-0000-000071610000}"/>
    <cellStyle name="Normal 7 3" xfId="1051" xr:uid="{00000000-0005-0000-0000-000072610000}"/>
    <cellStyle name="Normal 7 3 2" xfId="3762" xr:uid="{00000000-0005-0000-0000-000073610000}"/>
    <cellStyle name="Normal 7 3 2 10" xfId="27821" xr:uid="{00000000-0005-0000-0000-000074610000}"/>
    <cellStyle name="Normal 7 3 2 2" xfId="4211" xr:uid="{00000000-0005-0000-0000-000075610000}"/>
    <cellStyle name="Normal 7 3 2 2 2" xfId="5006" xr:uid="{00000000-0005-0000-0000-000076610000}"/>
    <cellStyle name="Normal 7 3 2 2 2 2" xfId="5577" xr:uid="{00000000-0005-0000-0000-000077610000}"/>
    <cellStyle name="Normal 7 3 2 2 2 2 2" xfId="6951" xr:uid="{00000000-0005-0000-0000-000078610000}"/>
    <cellStyle name="Normal 7 3 2 2 2 2 2 2" xfId="22181" xr:uid="{00000000-0005-0000-0000-000079610000}"/>
    <cellStyle name="Normal 7 3 2 2 2 2 2 3" xfId="27825" xr:uid="{00000000-0005-0000-0000-00007A610000}"/>
    <cellStyle name="Normal 7 3 2 2 2 2 3" xfId="22180" xr:uid="{00000000-0005-0000-0000-00007B610000}"/>
    <cellStyle name="Normal 7 3 2 2 2 2 4" xfId="27824" xr:uid="{00000000-0005-0000-0000-00007C610000}"/>
    <cellStyle name="Normal 7 3 2 2 2 3" xfId="5887" xr:uid="{00000000-0005-0000-0000-00007D610000}"/>
    <cellStyle name="Normal 7 3 2 2 2 3 2" xfId="6952" xr:uid="{00000000-0005-0000-0000-00007E610000}"/>
    <cellStyle name="Normal 7 3 2 2 2 3 2 2" xfId="22183" xr:uid="{00000000-0005-0000-0000-00007F610000}"/>
    <cellStyle name="Normal 7 3 2 2 2 3 2 3" xfId="27827" xr:uid="{00000000-0005-0000-0000-000080610000}"/>
    <cellStyle name="Normal 7 3 2 2 2 3 3" xfId="22182" xr:uid="{00000000-0005-0000-0000-000081610000}"/>
    <cellStyle name="Normal 7 3 2 2 2 3 4" xfId="27826" xr:uid="{00000000-0005-0000-0000-000082610000}"/>
    <cellStyle name="Normal 7 3 2 2 2 4" xfId="6950" xr:uid="{00000000-0005-0000-0000-000083610000}"/>
    <cellStyle name="Normal 7 3 2 2 2 4 2" xfId="22184" xr:uid="{00000000-0005-0000-0000-000084610000}"/>
    <cellStyle name="Normal 7 3 2 2 2 4 3" xfId="27828" xr:uid="{00000000-0005-0000-0000-000085610000}"/>
    <cellStyle name="Normal 7 3 2 2 2 5" xfId="22179" xr:uid="{00000000-0005-0000-0000-000086610000}"/>
    <cellStyle name="Normal 7 3 2 2 2 6" xfId="27823" xr:uid="{00000000-0005-0000-0000-000087610000}"/>
    <cellStyle name="Normal 7 3 2 2 3" xfId="5576" xr:uid="{00000000-0005-0000-0000-000088610000}"/>
    <cellStyle name="Normal 7 3 2 2 3 2" xfId="6953" xr:uid="{00000000-0005-0000-0000-000089610000}"/>
    <cellStyle name="Normal 7 3 2 2 3 2 2" xfId="22186" xr:uid="{00000000-0005-0000-0000-00008A610000}"/>
    <cellStyle name="Normal 7 3 2 2 3 2 3" xfId="27830" xr:uid="{00000000-0005-0000-0000-00008B610000}"/>
    <cellStyle name="Normal 7 3 2 2 3 3" xfId="22185" xr:uid="{00000000-0005-0000-0000-00008C610000}"/>
    <cellStyle name="Normal 7 3 2 2 3 4" xfId="27829" xr:uid="{00000000-0005-0000-0000-00008D610000}"/>
    <cellStyle name="Normal 7 3 2 2 4" xfId="5886" xr:uid="{00000000-0005-0000-0000-00008E610000}"/>
    <cellStyle name="Normal 7 3 2 2 4 2" xfId="6954" xr:uid="{00000000-0005-0000-0000-00008F610000}"/>
    <cellStyle name="Normal 7 3 2 2 4 2 2" xfId="22188" xr:uid="{00000000-0005-0000-0000-000090610000}"/>
    <cellStyle name="Normal 7 3 2 2 4 2 3" xfId="27832" xr:uid="{00000000-0005-0000-0000-000091610000}"/>
    <cellStyle name="Normal 7 3 2 2 4 3" xfId="22187" xr:uid="{00000000-0005-0000-0000-000092610000}"/>
    <cellStyle name="Normal 7 3 2 2 4 4" xfId="27831" xr:uid="{00000000-0005-0000-0000-000093610000}"/>
    <cellStyle name="Normal 7 3 2 2 5" xfId="5005" xr:uid="{00000000-0005-0000-0000-000094610000}"/>
    <cellStyle name="Normal 7 3 2 2 5 2" xfId="6955" xr:uid="{00000000-0005-0000-0000-000095610000}"/>
    <cellStyle name="Normal 7 3 2 2 5 2 2" xfId="27834" xr:uid="{00000000-0005-0000-0000-000096610000}"/>
    <cellStyle name="Normal 7 3 2 2 5 3" xfId="22189" xr:uid="{00000000-0005-0000-0000-000097610000}"/>
    <cellStyle name="Normal 7 3 2 2 5 4" xfId="27833" xr:uid="{00000000-0005-0000-0000-000098610000}"/>
    <cellStyle name="Normal 7 3 2 2 6" xfId="6949" xr:uid="{00000000-0005-0000-0000-000099610000}"/>
    <cellStyle name="Normal 7 3 2 2 6 2" xfId="27835" xr:uid="{00000000-0005-0000-0000-00009A610000}"/>
    <cellStyle name="Normal 7 3 2 2 7" xfId="22178" xr:uid="{00000000-0005-0000-0000-00009B610000}"/>
    <cellStyle name="Normal 7 3 2 2 8" xfId="25063" xr:uid="{00000000-0005-0000-0000-00009C610000}"/>
    <cellStyle name="Normal 7 3 2 2 9" xfId="27822" xr:uid="{00000000-0005-0000-0000-00009D610000}"/>
    <cellStyle name="Normal 7 3 2 3" xfId="5007" xr:uid="{00000000-0005-0000-0000-00009E610000}"/>
    <cellStyle name="Normal 7 3 2 3 2" xfId="5578" xr:uid="{00000000-0005-0000-0000-00009F610000}"/>
    <cellStyle name="Normal 7 3 2 3 2 2" xfId="6957" xr:uid="{00000000-0005-0000-0000-0000A0610000}"/>
    <cellStyle name="Normal 7 3 2 3 2 2 2" xfId="22192" xr:uid="{00000000-0005-0000-0000-0000A1610000}"/>
    <cellStyle name="Normal 7 3 2 3 2 2 3" xfId="27838" xr:uid="{00000000-0005-0000-0000-0000A2610000}"/>
    <cellStyle name="Normal 7 3 2 3 2 3" xfId="22191" xr:uid="{00000000-0005-0000-0000-0000A3610000}"/>
    <cellStyle name="Normal 7 3 2 3 2 4" xfId="27837" xr:uid="{00000000-0005-0000-0000-0000A4610000}"/>
    <cellStyle name="Normal 7 3 2 3 3" xfId="5888" xr:uid="{00000000-0005-0000-0000-0000A5610000}"/>
    <cellStyle name="Normal 7 3 2 3 3 2" xfId="6958" xr:uid="{00000000-0005-0000-0000-0000A6610000}"/>
    <cellStyle name="Normal 7 3 2 3 3 2 2" xfId="22194" xr:uid="{00000000-0005-0000-0000-0000A7610000}"/>
    <cellStyle name="Normal 7 3 2 3 3 2 3" xfId="27840" xr:uid="{00000000-0005-0000-0000-0000A8610000}"/>
    <cellStyle name="Normal 7 3 2 3 3 3" xfId="22193" xr:uid="{00000000-0005-0000-0000-0000A9610000}"/>
    <cellStyle name="Normal 7 3 2 3 3 4" xfId="27839" xr:uid="{00000000-0005-0000-0000-0000AA610000}"/>
    <cellStyle name="Normal 7 3 2 3 4" xfId="6956" xr:uid="{00000000-0005-0000-0000-0000AB610000}"/>
    <cellStyle name="Normal 7 3 2 3 4 2" xfId="22195" xr:uid="{00000000-0005-0000-0000-0000AC610000}"/>
    <cellStyle name="Normal 7 3 2 3 4 3" xfId="27841" xr:uid="{00000000-0005-0000-0000-0000AD610000}"/>
    <cellStyle name="Normal 7 3 2 3 5" xfId="22190" xr:uid="{00000000-0005-0000-0000-0000AE610000}"/>
    <cellStyle name="Normal 7 3 2 3 6" xfId="27836" xr:uid="{00000000-0005-0000-0000-0000AF610000}"/>
    <cellStyle name="Normal 7 3 2 4" xfId="5575" xr:uid="{00000000-0005-0000-0000-0000B0610000}"/>
    <cellStyle name="Normal 7 3 2 4 2" xfId="6959" xr:uid="{00000000-0005-0000-0000-0000B1610000}"/>
    <cellStyle name="Normal 7 3 2 4 2 2" xfId="22197" xr:uid="{00000000-0005-0000-0000-0000B2610000}"/>
    <cellStyle name="Normal 7 3 2 4 2 3" xfId="27843" xr:uid="{00000000-0005-0000-0000-0000B3610000}"/>
    <cellStyle name="Normal 7 3 2 4 3" xfId="22196" xr:uid="{00000000-0005-0000-0000-0000B4610000}"/>
    <cellStyle name="Normal 7 3 2 4 4" xfId="27842" xr:uid="{00000000-0005-0000-0000-0000B5610000}"/>
    <cellStyle name="Normal 7 3 2 5" xfId="5885" xr:uid="{00000000-0005-0000-0000-0000B6610000}"/>
    <cellStyle name="Normal 7 3 2 5 2" xfId="6960" xr:uid="{00000000-0005-0000-0000-0000B7610000}"/>
    <cellStyle name="Normal 7 3 2 5 2 2" xfId="22199" xr:uid="{00000000-0005-0000-0000-0000B8610000}"/>
    <cellStyle name="Normal 7 3 2 5 2 3" xfId="27845" xr:uid="{00000000-0005-0000-0000-0000B9610000}"/>
    <cellStyle name="Normal 7 3 2 5 3" xfId="22198" xr:uid="{00000000-0005-0000-0000-0000BA610000}"/>
    <cellStyle name="Normal 7 3 2 5 4" xfId="27844" xr:uid="{00000000-0005-0000-0000-0000BB610000}"/>
    <cellStyle name="Normal 7 3 2 6" xfId="5004" xr:uid="{00000000-0005-0000-0000-0000BC610000}"/>
    <cellStyle name="Normal 7 3 2 6 2" xfId="6961" xr:uid="{00000000-0005-0000-0000-0000BD610000}"/>
    <cellStyle name="Normal 7 3 2 6 2 2" xfId="27847" xr:uid="{00000000-0005-0000-0000-0000BE610000}"/>
    <cellStyle name="Normal 7 3 2 6 3" xfId="22200" xr:uid="{00000000-0005-0000-0000-0000BF610000}"/>
    <cellStyle name="Normal 7 3 2 6 4" xfId="27846" xr:uid="{00000000-0005-0000-0000-0000C0610000}"/>
    <cellStyle name="Normal 7 3 2 7" xfId="6948" xr:uid="{00000000-0005-0000-0000-0000C1610000}"/>
    <cellStyle name="Normal 7 3 2 7 2" xfId="27848" xr:uid="{00000000-0005-0000-0000-0000C2610000}"/>
    <cellStyle name="Normal 7 3 2 8" xfId="22177" xr:uid="{00000000-0005-0000-0000-0000C3610000}"/>
    <cellStyle name="Normal 7 3 2 9" xfId="24943" xr:uid="{00000000-0005-0000-0000-0000C4610000}"/>
    <cellStyle name="Normal 7 3 3" xfId="1536" xr:uid="{00000000-0005-0000-0000-0000C5610000}"/>
    <cellStyle name="Normal 7 3 3 10" xfId="27849" xr:uid="{00000000-0005-0000-0000-0000C6610000}"/>
    <cellStyle name="Normal 7 3 3 2" xfId="4189" xr:uid="{00000000-0005-0000-0000-0000C7610000}"/>
    <cellStyle name="Normal 7 3 3 2 2" xfId="5580" xr:uid="{00000000-0005-0000-0000-0000C8610000}"/>
    <cellStyle name="Normal 7 3 3 2 2 2" xfId="6964" xr:uid="{00000000-0005-0000-0000-0000C9610000}"/>
    <cellStyle name="Normal 7 3 3 2 2 2 2" xfId="22204" xr:uid="{00000000-0005-0000-0000-0000CA610000}"/>
    <cellStyle name="Normal 7 3 3 2 2 2 3" xfId="27852" xr:uid="{00000000-0005-0000-0000-0000CB610000}"/>
    <cellStyle name="Normal 7 3 3 2 2 3" xfId="22203" xr:uid="{00000000-0005-0000-0000-0000CC610000}"/>
    <cellStyle name="Normal 7 3 3 2 2 4" xfId="27851" xr:uid="{00000000-0005-0000-0000-0000CD610000}"/>
    <cellStyle name="Normal 7 3 3 2 3" xfId="5890" xr:uid="{00000000-0005-0000-0000-0000CE610000}"/>
    <cellStyle name="Normal 7 3 3 2 3 2" xfId="6965" xr:uid="{00000000-0005-0000-0000-0000CF610000}"/>
    <cellStyle name="Normal 7 3 3 2 3 2 2" xfId="22206" xr:uid="{00000000-0005-0000-0000-0000D0610000}"/>
    <cellStyle name="Normal 7 3 3 2 3 2 3" xfId="27854" xr:uid="{00000000-0005-0000-0000-0000D1610000}"/>
    <cellStyle name="Normal 7 3 3 2 3 3" xfId="22205" xr:uid="{00000000-0005-0000-0000-0000D2610000}"/>
    <cellStyle name="Normal 7 3 3 2 3 4" xfId="27853" xr:uid="{00000000-0005-0000-0000-0000D3610000}"/>
    <cellStyle name="Normal 7 3 3 2 4" xfId="5009" xr:uid="{00000000-0005-0000-0000-0000D4610000}"/>
    <cellStyle name="Normal 7 3 3 2 4 2" xfId="6966" xr:uid="{00000000-0005-0000-0000-0000D5610000}"/>
    <cellStyle name="Normal 7 3 3 2 4 2 2" xfId="27856" xr:uid="{00000000-0005-0000-0000-0000D6610000}"/>
    <cellStyle name="Normal 7 3 3 2 4 3" xfId="22207" xr:uid="{00000000-0005-0000-0000-0000D7610000}"/>
    <cellStyle name="Normal 7 3 3 2 4 4" xfId="27855" xr:uid="{00000000-0005-0000-0000-0000D8610000}"/>
    <cellStyle name="Normal 7 3 3 2 5" xfId="6963" xr:uid="{00000000-0005-0000-0000-0000D9610000}"/>
    <cellStyle name="Normal 7 3 3 2 5 2" xfId="27857" xr:uid="{00000000-0005-0000-0000-0000DA610000}"/>
    <cellStyle name="Normal 7 3 3 2 6" xfId="22202" xr:uid="{00000000-0005-0000-0000-0000DB610000}"/>
    <cellStyle name="Normal 7 3 3 2 7" xfId="25041" xr:uid="{00000000-0005-0000-0000-0000DC610000}"/>
    <cellStyle name="Normal 7 3 3 2 8" xfId="27850" xr:uid="{00000000-0005-0000-0000-0000DD610000}"/>
    <cellStyle name="Normal 7 3 3 3" xfId="5579" xr:uid="{00000000-0005-0000-0000-0000DE610000}"/>
    <cellStyle name="Normal 7 3 3 3 2" xfId="6967" xr:uid="{00000000-0005-0000-0000-0000DF610000}"/>
    <cellStyle name="Normal 7 3 3 3 2 2" xfId="22209" xr:uid="{00000000-0005-0000-0000-0000E0610000}"/>
    <cellStyle name="Normal 7 3 3 3 2 3" xfId="27859" xr:uid="{00000000-0005-0000-0000-0000E1610000}"/>
    <cellStyle name="Normal 7 3 3 3 3" xfId="22208" xr:uid="{00000000-0005-0000-0000-0000E2610000}"/>
    <cellStyle name="Normal 7 3 3 3 4" xfId="27858" xr:uid="{00000000-0005-0000-0000-0000E3610000}"/>
    <cellStyle name="Normal 7 3 3 4" xfId="5889" xr:uid="{00000000-0005-0000-0000-0000E4610000}"/>
    <cellStyle name="Normal 7 3 3 4 2" xfId="6968" xr:uid="{00000000-0005-0000-0000-0000E5610000}"/>
    <cellStyle name="Normal 7 3 3 4 2 2" xfId="22211" xr:uid="{00000000-0005-0000-0000-0000E6610000}"/>
    <cellStyle name="Normal 7 3 3 4 2 3" xfId="27861" xr:uid="{00000000-0005-0000-0000-0000E7610000}"/>
    <cellStyle name="Normal 7 3 3 4 3" xfId="22210" xr:uid="{00000000-0005-0000-0000-0000E8610000}"/>
    <cellStyle name="Normal 7 3 3 4 4" xfId="27860" xr:uid="{00000000-0005-0000-0000-0000E9610000}"/>
    <cellStyle name="Normal 7 3 3 5" xfId="5008" xr:uid="{00000000-0005-0000-0000-0000EA610000}"/>
    <cellStyle name="Normal 7 3 3 5 2" xfId="6969" xr:uid="{00000000-0005-0000-0000-0000EB610000}"/>
    <cellStyle name="Normal 7 3 3 5 2 2" xfId="27863" xr:uid="{00000000-0005-0000-0000-0000EC610000}"/>
    <cellStyle name="Normal 7 3 3 5 3" xfId="22212" xr:uid="{00000000-0005-0000-0000-0000ED610000}"/>
    <cellStyle name="Normal 7 3 3 5 4" xfId="27862" xr:uid="{00000000-0005-0000-0000-0000EE610000}"/>
    <cellStyle name="Normal 7 3 3 6" xfId="6962" xr:uid="{00000000-0005-0000-0000-0000EF610000}"/>
    <cellStyle name="Normal 7 3 3 6 2" xfId="27864" xr:uid="{00000000-0005-0000-0000-0000F0610000}"/>
    <cellStyle name="Normal 7 3 3 7" xfId="22201" xr:uid="{00000000-0005-0000-0000-0000F1610000}"/>
    <cellStyle name="Normal 7 3 3 8" xfId="24810" xr:uid="{00000000-0005-0000-0000-0000F2610000}"/>
    <cellStyle name="Normal 7 3 3 8 2" xfId="27865" xr:uid="{00000000-0005-0000-0000-0000F3610000}"/>
    <cellStyle name="Normal 7 3 3 9" xfId="24921" xr:uid="{00000000-0005-0000-0000-0000F4610000}"/>
    <cellStyle name="Normal 7 3 4" xfId="3921" xr:uid="{00000000-0005-0000-0000-0000F5610000}"/>
    <cellStyle name="Normal 7 3 4 2" xfId="5581" xr:uid="{00000000-0005-0000-0000-0000F6610000}"/>
    <cellStyle name="Normal 7 3 4 2 2" xfId="6970" xr:uid="{00000000-0005-0000-0000-0000F7610000}"/>
    <cellStyle name="Normal 7 3 4 2 2 2" xfId="22216" xr:uid="{00000000-0005-0000-0000-0000F8610000}"/>
    <cellStyle name="Normal 7 3 4 2 2 3" xfId="22215" xr:uid="{00000000-0005-0000-0000-0000F9610000}"/>
    <cellStyle name="Normal 7 3 4 2 2 4" xfId="27867" xr:uid="{00000000-0005-0000-0000-0000FA610000}"/>
    <cellStyle name="Normal 7 3 4 2 3" xfId="22217" xr:uid="{00000000-0005-0000-0000-0000FB610000}"/>
    <cellStyle name="Normal 7 3 4 2 3 2" xfId="22218" xr:uid="{00000000-0005-0000-0000-0000FC610000}"/>
    <cellStyle name="Normal 7 3 4 2 4" xfId="22219" xr:uid="{00000000-0005-0000-0000-0000FD610000}"/>
    <cellStyle name="Normal 7 3 4 2 5" xfId="22214" xr:uid="{00000000-0005-0000-0000-0000FE610000}"/>
    <cellStyle name="Normal 7 3 4 2 6" xfId="27866" xr:uid="{00000000-0005-0000-0000-0000FF610000}"/>
    <cellStyle name="Normal 7 3 4 3" xfId="5891" xr:uid="{00000000-0005-0000-0000-000000620000}"/>
    <cellStyle name="Normal 7 3 4 3 2" xfId="6971" xr:uid="{00000000-0005-0000-0000-000001620000}"/>
    <cellStyle name="Normal 7 3 4 3 2 2" xfId="22221" xr:uid="{00000000-0005-0000-0000-000002620000}"/>
    <cellStyle name="Normal 7 3 4 3 2 3" xfId="27869" xr:uid="{00000000-0005-0000-0000-000003620000}"/>
    <cellStyle name="Normal 7 3 4 3 3" xfId="22220" xr:uid="{00000000-0005-0000-0000-000004620000}"/>
    <cellStyle name="Normal 7 3 4 3 4" xfId="27868" xr:uid="{00000000-0005-0000-0000-000005620000}"/>
    <cellStyle name="Normal 7 3 4 4" xfId="5010" xr:uid="{00000000-0005-0000-0000-000006620000}"/>
    <cellStyle name="Normal 7 3 4 4 2" xfId="6972" xr:uid="{00000000-0005-0000-0000-000007620000}"/>
    <cellStyle name="Normal 7 3 4 4 2 2" xfId="22223" xr:uid="{00000000-0005-0000-0000-000008620000}"/>
    <cellStyle name="Normal 7 3 4 4 2 3" xfId="27871" xr:uid="{00000000-0005-0000-0000-000009620000}"/>
    <cellStyle name="Normal 7 3 4 4 3" xfId="22222" xr:uid="{00000000-0005-0000-0000-00000A620000}"/>
    <cellStyle name="Normal 7 3 4 4 4" xfId="27870" xr:uid="{00000000-0005-0000-0000-00000B620000}"/>
    <cellStyle name="Normal 7 3 4 5" xfId="22224" xr:uid="{00000000-0005-0000-0000-00000C620000}"/>
    <cellStyle name="Normal 7 3 4 6" xfId="22213" xr:uid="{00000000-0005-0000-0000-00000D620000}"/>
    <cellStyle name="Normal 7 3 5" xfId="5574" xr:uid="{00000000-0005-0000-0000-00000E620000}"/>
    <cellStyle name="Normal 7 3 5 2" xfId="6973" xr:uid="{00000000-0005-0000-0000-00000F620000}"/>
    <cellStyle name="Normal 7 3 5 2 2" xfId="22227" xr:uid="{00000000-0005-0000-0000-000010620000}"/>
    <cellStyle name="Normal 7 3 5 2 3" xfId="22226" xr:uid="{00000000-0005-0000-0000-000011620000}"/>
    <cellStyle name="Normal 7 3 5 2 4" xfId="27873" xr:uid="{00000000-0005-0000-0000-000012620000}"/>
    <cellStyle name="Normal 7 3 5 3" xfId="22228" xr:uid="{00000000-0005-0000-0000-000013620000}"/>
    <cellStyle name="Normal 7 3 5 3 2" xfId="22229" xr:uid="{00000000-0005-0000-0000-000014620000}"/>
    <cellStyle name="Normal 7 3 5 4" xfId="22230" xr:uid="{00000000-0005-0000-0000-000015620000}"/>
    <cellStyle name="Normal 7 3 5 5" xfId="22225" xr:uid="{00000000-0005-0000-0000-000016620000}"/>
    <cellStyle name="Normal 7 3 5 6" xfId="27872" xr:uid="{00000000-0005-0000-0000-000017620000}"/>
    <cellStyle name="Normal 7 3 6" xfId="5884" xr:uid="{00000000-0005-0000-0000-000018620000}"/>
    <cellStyle name="Normal 7 3 6 2" xfId="6974" xr:uid="{00000000-0005-0000-0000-000019620000}"/>
    <cellStyle name="Normal 7 3 6 2 2" xfId="22232" xr:uid="{00000000-0005-0000-0000-00001A620000}"/>
    <cellStyle name="Normal 7 3 6 2 3" xfId="27875" xr:uid="{00000000-0005-0000-0000-00001B620000}"/>
    <cellStyle name="Normal 7 3 6 3" xfId="22231" xr:uid="{00000000-0005-0000-0000-00001C620000}"/>
    <cellStyle name="Normal 7 3 6 4" xfId="27874" xr:uid="{00000000-0005-0000-0000-00001D620000}"/>
    <cellStyle name="Normal 7 3 7" xfId="5003" xr:uid="{00000000-0005-0000-0000-00001E620000}"/>
    <cellStyle name="Normal 7 3 7 2" xfId="6975" xr:uid="{00000000-0005-0000-0000-00001F620000}"/>
    <cellStyle name="Normal 7 3 7 2 2" xfId="22234" xr:uid="{00000000-0005-0000-0000-000020620000}"/>
    <cellStyle name="Normal 7 3 7 2 3" xfId="27877" xr:uid="{00000000-0005-0000-0000-000021620000}"/>
    <cellStyle name="Normal 7 3 7 3" xfId="22233" xr:uid="{00000000-0005-0000-0000-000022620000}"/>
    <cellStyle name="Normal 7 3 7 4" xfId="27876" xr:uid="{00000000-0005-0000-0000-000023620000}"/>
    <cellStyle name="Normal 7 3 8" xfId="22235" xr:uid="{00000000-0005-0000-0000-000024620000}"/>
    <cellStyle name="Normal 7 3 9" xfId="22176" xr:uid="{00000000-0005-0000-0000-000025620000}"/>
    <cellStyle name="Normal 7 30" xfId="27747" xr:uid="{00000000-0005-0000-0000-000026620000}"/>
    <cellStyle name="Normal 7 4" xfId="1056" xr:uid="{00000000-0005-0000-0000-000027620000}"/>
    <cellStyle name="Normal 7 4 2" xfId="3766" xr:uid="{00000000-0005-0000-0000-000028620000}"/>
    <cellStyle name="Normal 7 4 2 10" xfId="27878" xr:uid="{00000000-0005-0000-0000-000029620000}"/>
    <cellStyle name="Normal 7 4 2 2" xfId="4214" xr:uid="{00000000-0005-0000-0000-00002A620000}"/>
    <cellStyle name="Normal 7 4 2 2 2" xfId="5014" xr:uid="{00000000-0005-0000-0000-00002B620000}"/>
    <cellStyle name="Normal 7 4 2 2 2 2" xfId="5585" xr:uid="{00000000-0005-0000-0000-00002C620000}"/>
    <cellStyle name="Normal 7 4 2 2 2 2 2" xfId="6979" xr:uid="{00000000-0005-0000-0000-00002D620000}"/>
    <cellStyle name="Normal 7 4 2 2 2 2 2 2" xfId="22241" xr:uid="{00000000-0005-0000-0000-00002E620000}"/>
    <cellStyle name="Normal 7 4 2 2 2 2 2 3" xfId="27882" xr:uid="{00000000-0005-0000-0000-00002F620000}"/>
    <cellStyle name="Normal 7 4 2 2 2 2 3" xfId="22240" xr:uid="{00000000-0005-0000-0000-000030620000}"/>
    <cellStyle name="Normal 7 4 2 2 2 2 4" xfId="27881" xr:uid="{00000000-0005-0000-0000-000031620000}"/>
    <cellStyle name="Normal 7 4 2 2 2 3" xfId="5895" xr:uid="{00000000-0005-0000-0000-000032620000}"/>
    <cellStyle name="Normal 7 4 2 2 2 3 2" xfId="6980" xr:uid="{00000000-0005-0000-0000-000033620000}"/>
    <cellStyle name="Normal 7 4 2 2 2 3 2 2" xfId="22243" xr:uid="{00000000-0005-0000-0000-000034620000}"/>
    <cellStyle name="Normal 7 4 2 2 2 3 2 3" xfId="27884" xr:uid="{00000000-0005-0000-0000-000035620000}"/>
    <cellStyle name="Normal 7 4 2 2 2 3 3" xfId="22242" xr:uid="{00000000-0005-0000-0000-000036620000}"/>
    <cellStyle name="Normal 7 4 2 2 2 3 4" xfId="27883" xr:uid="{00000000-0005-0000-0000-000037620000}"/>
    <cellStyle name="Normal 7 4 2 2 2 4" xfId="6978" xr:uid="{00000000-0005-0000-0000-000038620000}"/>
    <cellStyle name="Normal 7 4 2 2 2 4 2" xfId="22244" xr:uid="{00000000-0005-0000-0000-000039620000}"/>
    <cellStyle name="Normal 7 4 2 2 2 4 3" xfId="27885" xr:uid="{00000000-0005-0000-0000-00003A620000}"/>
    <cellStyle name="Normal 7 4 2 2 2 5" xfId="22239" xr:uid="{00000000-0005-0000-0000-00003B620000}"/>
    <cellStyle name="Normal 7 4 2 2 2 6" xfId="27880" xr:uid="{00000000-0005-0000-0000-00003C620000}"/>
    <cellStyle name="Normal 7 4 2 2 3" xfId="5584" xr:uid="{00000000-0005-0000-0000-00003D620000}"/>
    <cellStyle name="Normal 7 4 2 2 3 2" xfId="6981" xr:uid="{00000000-0005-0000-0000-00003E620000}"/>
    <cellStyle name="Normal 7 4 2 2 3 2 2" xfId="22246" xr:uid="{00000000-0005-0000-0000-00003F620000}"/>
    <cellStyle name="Normal 7 4 2 2 3 2 3" xfId="27887" xr:uid="{00000000-0005-0000-0000-000040620000}"/>
    <cellStyle name="Normal 7 4 2 2 3 3" xfId="22245" xr:uid="{00000000-0005-0000-0000-000041620000}"/>
    <cellStyle name="Normal 7 4 2 2 3 4" xfId="27886" xr:uid="{00000000-0005-0000-0000-000042620000}"/>
    <cellStyle name="Normal 7 4 2 2 4" xfId="5894" xr:uid="{00000000-0005-0000-0000-000043620000}"/>
    <cellStyle name="Normal 7 4 2 2 4 2" xfId="6982" xr:uid="{00000000-0005-0000-0000-000044620000}"/>
    <cellStyle name="Normal 7 4 2 2 4 2 2" xfId="22248" xr:uid="{00000000-0005-0000-0000-000045620000}"/>
    <cellStyle name="Normal 7 4 2 2 4 2 3" xfId="27889" xr:uid="{00000000-0005-0000-0000-000046620000}"/>
    <cellStyle name="Normal 7 4 2 2 4 3" xfId="22247" xr:uid="{00000000-0005-0000-0000-000047620000}"/>
    <cellStyle name="Normal 7 4 2 2 4 4" xfId="27888" xr:uid="{00000000-0005-0000-0000-000048620000}"/>
    <cellStyle name="Normal 7 4 2 2 5" xfId="5013" xr:uid="{00000000-0005-0000-0000-000049620000}"/>
    <cellStyle name="Normal 7 4 2 2 5 2" xfId="6983" xr:uid="{00000000-0005-0000-0000-00004A620000}"/>
    <cellStyle name="Normal 7 4 2 2 5 2 2" xfId="27891" xr:uid="{00000000-0005-0000-0000-00004B620000}"/>
    <cellStyle name="Normal 7 4 2 2 5 3" xfId="22249" xr:uid="{00000000-0005-0000-0000-00004C620000}"/>
    <cellStyle name="Normal 7 4 2 2 5 4" xfId="27890" xr:uid="{00000000-0005-0000-0000-00004D620000}"/>
    <cellStyle name="Normal 7 4 2 2 6" xfId="6977" xr:uid="{00000000-0005-0000-0000-00004E620000}"/>
    <cellStyle name="Normal 7 4 2 2 6 2" xfId="27892" xr:uid="{00000000-0005-0000-0000-00004F620000}"/>
    <cellStyle name="Normal 7 4 2 2 7" xfId="22238" xr:uid="{00000000-0005-0000-0000-000050620000}"/>
    <cellStyle name="Normal 7 4 2 2 8" xfId="25066" xr:uid="{00000000-0005-0000-0000-000051620000}"/>
    <cellStyle name="Normal 7 4 2 2 9" xfId="27879" xr:uid="{00000000-0005-0000-0000-000052620000}"/>
    <cellStyle name="Normal 7 4 2 3" xfId="5015" xr:uid="{00000000-0005-0000-0000-000053620000}"/>
    <cellStyle name="Normal 7 4 2 3 2" xfId="5586" xr:uid="{00000000-0005-0000-0000-000054620000}"/>
    <cellStyle name="Normal 7 4 2 3 2 2" xfId="6985" xr:uid="{00000000-0005-0000-0000-000055620000}"/>
    <cellStyle name="Normal 7 4 2 3 2 2 2" xfId="22252" xr:uid="{00000000-0005-0000-0000-000056620000}"/>
    <cellStyle name="Normal 7 4 2 3 2 2 3" xfId="27895" xr:uid="{00000000-0005-0000-0000-000057620000}"/>
    <cellStyle name="Normal 7 4 2 3 2 3" xfId="22251" xr:uid="{00000000-0005-0000-0000-000058620000}"/>
    <cellStyle name="Normal 7 4 2 3 2 4" xfId="27894" xr:uid="{00000000-0005-0000-0000-000059620000}"/>
    <cellStyle name="Normal 7 4 2 3 3" xfId="5896" xr:uid="{00000000-0005-0000-0000-00005A620000}"/>
    <cellStyle name="Normal 7 4 2 3 3 2" xfId="6986" xr:uid="{00000000-0005-0000-0000-00005B620000}"/>
    <cellStyle name="Normal 7 4 2 3 3 2 2" xfId="22254" xr:uid="{00000000-0005-0000-0000-00005C620000}"/>
    <cellStyle name="Normal 7 4 2 3 3 2 3" xfId="27897" xr:uid="{00000000-0005-0000-0000-00005D620000}"/>
    <cellStyle name="Normal 7 4 2 3 3 3" xfId="22253" xr:uid="{00000000-0005-0000-0000-00005E620000}"/>
    <cellStyle name="Normal 7 4 2 3 3 4" xfId="27896" xr:uid="{00000000-0005-0000-0000-00005F620000}"/>
    <cellStyle name="Normal 7 4 2 3 4" xfId="6984" xr:uid="{00000000-0005-0000-0000-000060620000}"/>
    <cellStyle name="Normal 7 4 2 3 4 2" xfId="22255" xr:uid="{00000000-0005-0000-0000-000061620000}"/>
    <cellStyle name="Normal 7 4 2 3 4 3" xfId="27898" xr:uid="{00000000-0005-0000-0000-000062620000}"/>
    <cellStyle name="Normal 7 4 2 3 5" xfId="22250" xr:uid="{00000000-0005-0000-0000-000063620000}"/>
    <cellStyle name="Normal 7 4 2 3 6" xfId="27893" xr:uid="{00000000-0005-0000-0000-000064620000}"/>
    <cellStyle name="Normal 7 4 2 4" xfId="5583" xr:uid="{00000000-0005-0000-0000-000065620000}"/>
    <cellStyle name="Normal 7 4 2 4 2" xfId="6987" xr:uid="{00000000-0005-0000-0000-000066620000}"/>
    <cellStyle name="Normal 7 4 2 4 2 2" xfId="22257" xr:uid="{00000000-0005-0000-0000-000067620000}"/>
    <cellStyle name="Normal 7 4 2 4 2 3" xfId="27900" xr:uid="{00000000-0005-0000-0000-000068620000}"/>
    <cellStyle name="Normal 7 4 2 4 3" xfId="22256" xr:uid="{00000000-0005-0000-0000-000069620000}"/>
    <cellStyle name="Normal 7 4 2 4 4" xfId="27899" xr:uid="{00000000-0005-0000-0000-00006A620000}"/>
    <cellStyle name="Normal 7 4 2 5" xfId="5893" xr:uid="{00000000-0005-0000-0000-00006B620000}"/>
    <cellStyle name="Normal 7 4 2 5 2" xfId="6988" xr:uid="{00000000-0005-0000-0000-00006C620000}"/>
    <cellStyle name="Normal 7 4 2 5 2 2" xfId="22259" xr:uid="{00000000-0005-0000-0000-00006D620000}"/>
    <cellStyle name="Normal 7 4 2 5 2 3" xfId="27902" xr:uid="{00000000-0005-0000-0000-00006E620000}"/>
    <cellStyle name="Normal 7 4 2 5 3" xfId="22258" xr:uid="{00000000-0005-0000-0000-00006F620000}"/>
    <cellStyle name="Normal 7 4 2 5 4" xfId="27901" xr:uid="{00000000-0005-0000-0000-000070620000}"/>
    <cellStyle name="Normal 7 4 2 6" xfId="5012" xr:uid="{00000000-0005-0000-0000-000071620000}"/>
    <cellStyle name="Normal 7 4 2 6 2" xfId="6989" xr:uid="{00000000-0005-0000-0000-000072620000}"/>
    <cellStyle name="Normal 7 4 2 6 2 2" xfId="27904" xr:uid="{00000000-0005-0000-0000-000073620000}"/>
    <cellStyle name="Normal 7 4 2 6 3" xfId="22260" xr:uid="{00000000-0005-0000-0000-000074620000}"/>
    <cellStyle name="Normal 7 4 2 6 4" xfId="27903" xr:uid="{00000000-0005-0000-0000-000075620000}"/>
    <cellStyle name="Normal 7 4 2 7" xfId="6976" xr:uid="{00000000-0005-0000-0000-000076620000}"/>
    <cellStyle name="Normal 7 4 2 7 2" xfId="27905" xr:uid="{00000000-0005-0000-0000-000077620000}"/>
    <cellStyle name="Normal 7 4 2 8" xfId="22237" xr:uid="{00000000-0005-0000-0000-000078620000}"/>
    <cellStyle name="Normal 7 4 2 9" xfId="24946" xr:uid="{00000000-0005-0000-0000-000079620000}"/>
    <cellStyle name="Normal 7 4 3" xfId="1572" xr:uid="{00000000-0005-0000-0000-00007A620000}"/>
    <cellStyle name="Normal 7 4 3 2" xfId="4193" xr:uid="{00000000-0005-0000-0000-00007B620000}"/>
    <cellStyle name="Normal 7 4 3 2 2" xfId="5588" xr:uid="{00000000-0005-0000-0000-00007C620000}"/>
    <cellStyle name="Normal 7 4 3 2 2 2" xfId="6992" xr:uid="{00000000-0005-0000-0000-00007D620000}"/>
    <cellStyle name="Normal 7 4 3 2 2 2 2" xfId="22264" xr:uid="{00000000-0005-0000-0000-00007E620000}"/>
    <cellStyle name="Normal 7 4 3 2 2 2 3" xfId="27909" xr:uid="{00000000-0005-0000-0000-00007F620000}"/>
    <cellStyle name="Normal 7 4 3 2 2 3" xfId="22263" xr:uid="{00000000-0005-0000-0000-000080620000}"/>
    <cellStyle name="Normal 7 4 3 2 2 4" xfId="27908" xr:uid="{00000000-0005-0000-0000-000081620000}"/>
    <cellStyle name="Normal 7 4 3 2 3" xfId="5898" xr:uid="{00000000-0005-0000-0000-000082620000}"/>
    <cellStyle name="Normal 7 4 3 2 3 2" xfId="6993" xr:uid="{00000000-0005-0000-0000-000083620000}"/>
    <cellStyle name="Normal 7 4 3 2 3 2 2" xfId="22266" xr:uid="{00000000-0005-0000-0000-000084620000}"/>
    <cellStyle name="Normal 7 4 3 2 3 2 3" xfId="27911" xr:uid="{00000000-0005-0000-0000-000085620000}"/>
    <cellStyle name="Normal 7 4 3 2 3 3" xfId="22265" xr:uid="{00000000-0005-0000-0000-000086620000}"/>
    <cellStyle name="Normal 7 4 3 2 3 4" xfId="27910" xr:uid="{00000000-0005-0000-0000-000087620000}"/>
    <cellStyle name="Normal 7 4 3 2 4" xfId="5017" xr:uid="{00000000-0005-0000-0000-000088620000}"/>
    <cellStyle name="Normal 7 4 3 2 4 2" xfId="6994" xr:uid="{00000000-0005-0000-0000-000089620000}"/>
    <cellStyle name="Normal 7 4 3 2 4 2 2" xfId="27913" xr:uid="{00000000-0005-0000-0000-00008A620000}"/>
    <cellStyle name="Normal 7 4 3 2 4 3" xfId="22267" xr:uid="{00000000-0005-0000-0000-00008B620000}"/>
    <cellStyle name="Normal 7 4 3 2 4 4" xfId="27912" xr:uid="{00000000-0005-0000-0000-00008C620000}"/>
    <cellStyle name="Normal 7 4 3 2 5" xfId="6991" xr:uid="{00000000-0005-0000-0000-00008D620000}"/>
    <cellStyle name="Normal 7 4 3 2 5 2" xfId="27914" xr:uid="{00000000-0005-0000-0000-00008E620000}"/>
    <cellStyle name="Normal 7 4 3 2 6" xfId="22262" xr:uid="{00000000-0005-0000-0000-00008F620000}"/>
    <cellStyle name="Normal 7 4 3 2 7" xfId="25045" xr:uid="{00000000-0005-0000-0000-000090620000}"/>
    <cellStyle name="Normal 7 4 3 2 8" xfId="27907" xr:uid="{00000000-0005-0000-0000-000091620000}"/>
    <cellStyle name="Normal 7 4 3 3" xfId="5587" xr:uid="{00000000-0005-0000-0000-000092620000}"/>
    <cellStyle name="Normal 7 4 3 3 2" xfId="6995" xr:uid="{00000000-0005-0000-0000-000093620000}"/>
    <cellStyle name="Normal 7 4 3 3 2 2" xfId="22269" xr:uid="{00000000-0005-0000-0000-000094620000}"/>
    <cellStyle name="Normal 7 4 3 3 2 3" xfId="27916" xr:uid="{00000000-0005-0000-0000-000095620000}"/>
    <cellStyle name="Normal 7 4 3 3 3" xfId="22268" xr:uid="{00000000-0005-0000-0000-000096620000}"/>
    <cellStyle name="Normal 7 4 3 3 4" xfId="27915" xr:uid="{00000000-0005-0000-0000-000097620000}"/>
    <cellStyle name="Normal 7 4 3 4" xfId="5897" xr:uid="{00000000-0005-0000-0000-000098620000}"/>
    <cellStyle name="Normal 7 4 3 4 2" xfId="6996" xr:uid="{00000000-0005-0000-0000-000099620000}"/>
    <cellStyle name="Normal 7 4 3 4 2 2" xfId="22271" xr:uid="{00000000-0005-0000-0000-00009A620000}"/>
    <cellStyle name="Normal 7 4 3 4 2 3" xfId="27918" xr:uid="{00000000-0005-0000-0000-00009B620000}"/>
    <cellStyle name="Normal 7 4 3 4 3" xfId="22270" xr:uid="{00000000-0005-0000-0000-00009C620000}"/>
    <cellStyle name="Normal 7 4 3 4 4" xfId="27917" xr:uid="{00000000-0005-0000-0000-00009D620000}"/>
    <cellStyle name="Normal 7 4 3 5" xfId="5016" xr:uid="{00000000-0005-0000-0000-00009E620000}"/>
    <cellStyle name="Normal 7 4 3 5 2" xfId="6997" xr:uid="{00000000-0005-0000-0000-00009F620000}"/>
    <cellStyle name="Normal 7 4 3 5 2 2" xfId="27920" xr:uid="{00000000-0005-0000-0000-0000A0620000}"/>
    <cellStyle name="Normal 7 4 3 5 3" xfId="22272" xr:uid="{00000000-0005-0000-0000-0000A1620000}"/>
    <cellStyle name="Normal 7 4 3 5 4" xfId="27919" xr:uid="{00000000-0005-0000-0000-0000A2620000}"/>
    <cellStyle name="Normal 7 4 3 6" xfId="6990" xr:uid="{00000000-0005-0000-0000-0000A3620000}"/>
    <cellStyle name="Normal 7 4 3 6 2" xfId="27921" xr:uid="{00000000-0005-0000-0000-0000A4620000}"/>
    <cellStyle name="Normal 7 4 3 7" xfId="22261" xr:uid="{00000000-0005-0000-0000-0000A5620000}"/>
    <cellStyle name="Normal 7 4 3 8" xfId="24925" xr:uid="{00000000-0005-0000-0000-0000A6620000}"/>
    <cellStyle name="Normal 7 4 3 9" xfId="27906" xr:uid="{00000000-0005-0000-0000-0000A7620000}"/>
    <cellStyle name="Normal 7 4 4" xfId="3926" xr:uid="{00000000-0005-0000-0000-0000A8620000}"/>
    <cellStyle name="Normal 7 4 4 2" xfId="5589" xr:uid="{00000000-0005-0000-0000-0000A9620000}"/>
    <cellStyle name="Normal 7 4 4 2 2" xfId="6998" xr:uid="{00000000-0005-0000-0000-0000AA620000}"/>
    <cellStyle name="Normal 7 4 4 2 2 2" xfId="22275" xr:uid="{00000000-0005-0000-0000-0000AB620000}"/>
    <cellStyle name="Normal 7 4 4 2 2 3" xfId="27923" xr:uid="{00000000-0005-0000-0000-0000AC620000}"/>
    <cellStyle name="Normal 7 4 4 2 3" xfId="22274" xr:uid="{00000000-0005-0000-0000-0000AD620000}"/>
    <cellStyle name="Normal 7 4 4 2 4" xfId="27922" xr:uid="{00000000-0005-0000-0000-0000AE620000}"/>
    <cellStyle name="Normal 7 4 4 3" xfId="5899" xr:uid="{00000000-0005-0000-0000-0000AF620000}"/>
    <cellStyle name="Normal 7 4 4 3 2" xfId="6999" xr:uid="{00000000-0005-0000-0000-0000B0620000}"/>
    <cellStyle name="Normal 7 4 4 3 2 2" xfId="22277" xr:uid="{00000000-0005-0000-0000-0000B1620000}"/>
    <cellStyle name="Normal 7 4 4 3 2 3" xfId="27925" xr:uid="{00000000-0005-0000-0000-0000B2620000}"/>
    <cellStyle name="Normal 7 4 4 3 3" xfId="22276" xr:uid="{00000000-0005-0000-0000-0000B3620000}"/>
    <cellStyle name="Normal 7 4 4 3 4" xfId="27924" xr:uid="{00000000-0005-0000-0000-0000B4620000}"/>
    <cellStyle name="Normal 7 4 4 4" xfId="5018" xr:uid="{00000000-0005-0000-0000-0000B5620000}"/>
    <cellStyle name="Normal 7 4 4 4 2" xfId="7000" xr:uid="{00000000-0005-0000-0000-0000B6620000}"/>
    <cellStyle name="Normal 7 4 4 4 2 2" xfId="27927" xr:uid="{00000000-0005-0000-0000-0000B7620000}"/>
    <cellStyle name="Normal 7 4 4 4 3" xfId="22278" xr:uid="{00000000-0005-0000-0000-0000B8620000}"/>
    <cellStyle name="Normal 7 4 4 4 4" xfId="27926" xr:uid="{00000000-0005-0000-0000-0000B9620000}"/>
    <cellStyle name="Normal 7 4 4 5" xfId="22273" xr:uid="{00000000-0005-0000-0000-0000BA620000}"/>
    <cellStyle name="Normal 7 4 5" xfId="5582" xr:uid="{00000000-0005-0000-0000-0000BB620000}"/>
    <cellStyle name="Normal 7 4 5 2" xfId="7001" xr:uid="{00000000-0005-0000-0000-0000BC620000}"/>
    <cellStyle name="Normal 7 4 5 2 2" xfId="22280" xr:uid="{00000000-0005-0000-0000-0000BD620000}"/>
    <cellStyle name="Normal 7 4 5 2 3" xfId="27929" xr:uid="{00000000-0005-0000-0000-0000BE620000}"/>
    <cellStyle name="Normal 7 4 5 3" xfId="22279" xr:uid="{00000000-0005-0000-0000-0000BF620000}"/>
    <cellStyle name="Normal 7 4 5 4" xfId="27928" xr:uid="{00000000-0005-0000-0000-0000C0620000}"/>
    <cellStyle name="Normal 7 4 6" xfId="5892" xr:uid="{00000000-0005-0000-0000-0000C1620000}"/>
    <cellStyle name="Normal 7 4 6 2" xfId="7002" xr:uid="{00000000-0005-0000-0000-0000C2620000}"/>
    <cellStyle name="Normal 7 4 6 2 2" xfId="22282" xr:uid="{00000000-0005-0000-0000-0000C3620000}"/>
    <cellStyle name="Normal 7 4 6 2 3" xfId="27931" xr:uid="{00000000-0005-0000-0000-0000C4620000}"/>
    <cellStyle name="Normal 7 4 6 3" xfId="22281" xr:uid="{00000000-0005-0000-0000-0000C5620000}"/>
    <cellStyle name="Normal 7 4 6 4" xfId="27930" xr:uid="{00000000-0005-0000-0000-0000C6620000}"/>
    <cellStyle name="Normal 7 4 7" xfId="5011" xr:uid="{00000000-0005-0000-0000-0000C7620000}"/>
    <cellStyle name="Normal 7 4 7 2" xfId="7003" xr:uid="{00000000-0005-0000-0000-0000C8620000}"/>
    <cellStyle name="Normal 7 4 7 2 2" xfId="27933" xr:uid="{00000000-0005-0000-0000-0000C9620000}"/>
    <cellStyle name="Normal 7 4 7 3" xfId="22283" xr:uid="{00000000-0005-0000-0000-0000CA620000}"/>
    <cellStyle name="Normal 7 4 7 4" xfId="27932" xr:uid="{00000000-0005-0000-0000-0000CB620000}"/>
    <cellStyle name="Normal 7 4 8" xfId="22236" xr:uid="{00000000-0005-0000-0000-0000CC620000}"/>
    <cellStyle name="Normal 7 4 9" xfId="24811" xr:uid="{00000000-0005-0000-0000-0000CD620000}"/>
    <cellStyle name="Normal 7 4 9 2" xfId="27934" xr:uid="{00000000-0005-0000-0000-0000CE620000}"/>
    <cellStyle name="Normal 7 5" xfId="1066" xr:uid="{00000000-0005-0000-0000-0000CF620000}"/>
    <cellStyle name="Normal 7 5 2" xfId="3810" xr:uid="{00000000-0005-0000-0000-0000D0620000}"/>
    <cellStyle name="Normal 7 5 2 10" xfId="27935" xr:uid="{00000000-0005-0000-0000-0000D1620000}"/>
    <cellStyle name="Normal 7 5 2 2" xfId="4217" xr:uid="{00000000-0005-0000-0000-0000D2620000}"/>
    <cellStyle name="Normal 7 5 2 2 2" xfId="5022" xr:uid="{00000000-0005-0000-0000-0000D3620000}"/>
    <cellStyle name="Normal 7 5 2 2 2 2" xfId="5593" xr:uid="{00000000-0005-0000-0000-0000D4620000}"/>
    <cellStyle name="Normal 7 5 2 2 2 2 2" xfId="7007" xr:uid="{00000000-0005-0000-0000-0000D5620000}"/>
    <cellStyle name="Normal 7 5 2 2 2 2 2 2" xfId="22289" xr:uid="{00000000-0005-0000-0000-0000D6620000}"/>
    <cellStyle name="Normal 7 5 2 2 2 2 2 3" xfId="27939" xr:uid="{00000000-0005-0000-0000-0000D7620000}"/>
    <cellStyle name="Normal 7 5 2 2 2 2 3" xfId="22288" xr:uid="{00000000-0005-0000-0000-0000D8620000}"/>
    <cellStyle name="Normal 7 5 2 2 2 2 4" xfId="27938" xr:uid="{00000000-0005-0000-0000-0000D9620000}"/>
    <cellStyle name="Normal 7 5 2 2 2 3" xfId="5903" xr:uid="{00000000-0005-0000-0000-0000DA620000}"/>
    <cellStyle name="Normal 7 5 2 2 2 3 2" xfId="7008" xr:uid="{00000000-0005-0000-0000-0000DB620000}"/>
    <cellStyle name="Normal 7 5 2 2 2 3 2 2" xfId="22291" xr:uid="{00000000-0005-0000-0000-0000DC620000}"/>
    <cellStyle name="Normal 7 5 2 2 2 3 2 3" xfId="27941" xr:uid="{00000000-0005-0000-0000-0000DD620000}"/>
    <cellStyle name="Normal 7 5 2 2 2 3 3" xfId="22290" xr:uid="{00000000-0005-0000-0000-0000DE620000}"/>
    <cellStyle name="Normal 7 5 2 2 2 3 4" xfId="27940" xr:uid="{00000000-0005-0000-0000-0000DF620000}"/>
    <cellStyle name="Normal 7 5 2 2 2 4" xfId="7006" xr:uid="{00000000-0005-0000-0000-0000E0620000}"/>
    <cellStyle name="Normal 7 5 2 2 2 4 2" xfId="22292" xr:uid="{00000000-0005-0000-0000-0000E1620000}"/>
    <cellStyle name="Normal 7 5 2 2 2 4 3" xfId="27942" xr:uid="{00000000-0005-0000-0000-0000E2620000}"/>
    <cellStyle name="Normal 7 5 2 2 2 5" xfId="22287" xr:uid="{00000000-0005-0000-0000-0000E3620000}"/>
    <cellStyle name="Normal 7 5 2 2 2 6" xfId="27937" xr:uid="{00000000-0005-0000-0000-0000E4620000}"/>
    <cellStyle name="Normal 7 5 2 2 3" xfId="5592" xr:uid="{00000000-0005-0000-0000-0000E5620000}"/>
    <cellStyle name="Normal 7 5 2 2 3 2" xfId="7009" xr:uid="{00000000-0005-0000-0000-0000E6620000}"/>
    <cellStyle name="Normal 7 5 2 2 3 2 2" xfId="22294" xr:uid="{00000000-0005-0000-0000-0000E7620000}"/>
    <cellStyle name="Normal 7 5 2 2 3 2 3" xfId="27944" xr:uid="{00000000-0005-0000-0000-0000E8620000}"/>
    <cellStyle name="Normal 7 5 2 2 3 3" xfId="22293" xr:uid="{00000000-0005-0000-0000-0000E9620000}"/>
    <cellStyle name="Normal 7 5 2 2 3 4" xfId="27943" xr:uid="{00000000-0005-0000-0000-0000EA620000}"/>
    <cellStyle name="Normal 7 5 2 2 4" xfId="5902" xr:uid="{00000000-0005-0000-0000-0000EB620000}"/>
    <cellStyle name="Normal 7 5 2 2 4 2" xfId="7010" xr:uid="{00000000-0005-0000-0000-0000EC620000}"/>
    <cellStyle name="Normal 7 5 2 2 4 2 2" xfId="22296" xr:uid="{00000000-0005-0000-0000-0000ED620000}"/>
    <cellStyle name="Normal 7 5 2 2 4 2 3" xfId="27946" xr:uid="{00000000-0005-0000-0000-0000EE620000}"/>
    <cellStyle name="Normal 7 5 2 2 4 3" xfId="22295" xr:uid="{00000000-0005-0000-0000-0000EF620000}"/>
    <cellStyle name="Normal 7 5 2 2 4 4" xfId="27945" xr:uid="{00000000-0005-0000-0000-0000F0620000}"/>
    <cellStyle name="Normal 7 5 2 2 5" xfId="5021" xr:uid="{00000000-0005-0000-0000-0000F1620000}"/>
    <cellStyle name="Normal 7 5 2 2 5 2" xfId="7011" xr:uid="{00000000-0005-0000-0000-0000F2620000}"/>
    <cellStyle name="Normal 7 5 2 2 5 2 2" xfId="27948" xr:uid="{00000000-0005-0000-0000-0000F3620000}"/>
    <cellStyle name="Normal 7 5 2 2 5 3" xfId="22297" xr:uid="{00000000-0005-0000-0000-0000F4620000}"/>
    <cellStyle name="Normal 7 5 2 2 5 4" xfId="27947" xr:uid="{00000000-0005-0000-0000-0000F5620000}"/>
    <cellStyle name="Normal 7 5 2 2 6" xfId="7005" xr:uid="{00000000-0005-0000-0000-0000F6620000}"/>
    <cellStyle name="Normal 7 5 2 2 6 2" xfId="27949" xr:uid="{00000000-0005-0000-0000-0000F7620000}"/>
    <cellStyle name="Normal 7 5 2 2 7" xfId="22286" xr:uid="{00000000-0005-0000-0000-0000F8620000}"/>
    <cellStyle name="Normal 7 5 2 2 8" xfId="25069" xr:uid="{00000000-0005-0000-0000-0000F9620000}"/>
    <cellStyle name="Normal 7 5 2 2 9" xfId="27936" xr:uid="{00000000-0005-0000-0000-0000FA620000}"/>
    <cellStyle name="Normal 7 5 2 3" xfId="5023" xr:uid="{00000000-0005-0000-0000-0000FB620000}"/>
    <cellStyle name="Normal 7 5 2 3 2" xfId="5594" xr:uid="{00000000-0005-0000-0000-0000FC620000}"/>
    <cellStyle name="Normal 7 5 2 3 2 2" xfId="7013" xr:uid="{00000000-0005-0000-0000-0000FD620000}"/>
    <cellStyle name="Normal 7 5 2 3 2 2 2" xfId="22300" xr:uid="{00000000-0005-0000-0000-0000FE620000}"/>
    <cellStyle name="Normal 7 5 2 3 2 2 3" xfId="27952" xr:uid="{00000000-0005-0000-0000-0000FF620000}"/>
    <cellStyle name="Normal 7 5 2 3 2 3" xfId="22299" xr:uid="{00000000-0005-0000-0000-000000630000}"/>
    <cellStyle name="Normal 7 5 2 3 2 4" xfId="27951" xr:uid="{00000000-0005-0000-0000-000001630000}"/>
    <cellStyle name="Normal 7 5 2 3 3" xfId="5904" xr:uid="{00000000-0005-0000-0000-000002630000}"/>
    <cellStyle name="Normal 7 5 2 3 3 2" xfId="7014" xr:uid="{00000000-0005-0000-0000-000003630000}"/>
    <cellStyle name="Normal 7 5 2 3 3 2 2" xfId="22302" xr:uid="{00000000-0005-0000-0000-000004630000}"/>
    <cellStyle name="Normal 7 5 2 3 3 2 3" xfId="27954" xr:uid="{00000000-0005-0000-0000-000005630000}"/>
    <cellStyle name="Normal 7 5 2 3 3 3" xfId="22301" xr:uid="{00000000-0005-0000-0000-000006630000}"/>
    <cellStyle name="Normal 7 5 2 3 3 4" xfId="27953" xr:uid="{00000000-0005-0000-0000-000007630000}"/>
    <cellStyle name="Normal 7 5 2 3 4" xfId="7012" xr:uid="{00000000-0005-0000-0000-000008630000}"/>
    <cellStyle name="Normal 7 5 2 3 4 2" xfId="22303" xr:uid="{00000000-0005-0000-0000-000009630000}"/>
    <cellStyle name="Normal 7 5 2 3 4 3" xfId="27955" xr:uid="{00000000-0005-0000-0000-00000A630000}"/>
    <cellStyle name="Normal 7 5 2 3 5" xfId="22298" xr:uid="{00000000-0005-0000-0000-00000B630000}"/>
    <cellStyle name="Normal 7 5 2 3 6" xfId="27950" xr:uid="{00000000-0005-0000-0000-00000C630000}"/>
    <cellStyle name="Normal 7 5 2 4" xfId="5591" xr:uid="{00000000-0005-0000-0000-00000D630000}"/>
    <cellStyle name="Normal 7 5 2 4 2" xfId="7015" xr:uid="{00000000-0005-0000-0000-00000E630000}"/>
    <cellStyle name="Normal 7 5 2 4 2 2" xfId="22305" xr:uid="{00000000-0005-0000-0000-00000F630000}"/>
    <cellStyle name="Normal 7 5 2 4 2 3" xfId="27957" xr:uid="{00000000-0005-0000-0000-000010630000}"/>
    <cellStyle name="Normal 7 5 2 4 3" xfId="22304" xr:uid="{00000000-0005-0000-0000-000011630000}"/>
    <cellStyle name="Normal 7 5 2 4 4" xfId="27956" xr:uid="{00000000-0005-0000-0000-000012630000}"/>
    <cellStyle name="Normal 7 5 2 5" xfId="5901" xr:uid="{00000000-0005-0000-0000-000013630000}"/>
    <cellStyle name="Normal 7 5 2 5 2" xfId="7016" xr:uid="{00000000-0005-0000-0000-000014630000}"/>
    <cellStyle name="Normal 7 5 2 5 2 2" xfId="22307" xr:uid="{00000000-0005-0000-0000-000015630000}"/>
    <cellStyle name="Normal 7 5 2 5 2 3" xfId="27959" xr:uid="{00000000-0005-0000-0000-000016630000}"/>
    <cellStyle name="Normal 7 5 2 5 3" xfId="22306" xr:uid="{00000000-0005-0000-0000-000017630000}"/>
    <cellStyle name="Normal 7 5 2 5 4" xfId="27958" xr:uid="{00000000-0005-0000-0000-000018630000}"/>
    <cellStyle name="Normal 7 5 2 6" xfId="5020" xr:uid="{00000000-0005-0000-0000-000019630000}"/>
    <cellStyle name="Normal 7 5 2 6 2" xfId="7017" xr:uid="{00000000-0005-0000-0000-00001A630000}"/>
    <cellStyle name="Normal 7 5 2 6 2 2" xfId="27961" xr:uid="{00000000-0005-0000-0000-00001B630000}"/>
    <cellStyle name="Normal 7 5 2 6 3" xfId="22308" xr:uid="{00000000-0005-0000-0000-00001C630000}"/>
    <cellStyle name="Normal 7 5 2 6 4" xfId="27960" xr:uid="{00000000-0005-0000-0000-00001D630000}"/>
    <cellStyle name="Normal 7 5 2 7" xfId="7004" xr:uid="{00000000-0005-0000-0000-00001E630000}"/>
    <cellStyle name="Normal 7 5 2 7 2" xfId="27962" xr:uid="{00000000-0005-0000-0000-00001F630000}"/>
    <cellStyle name="Normal 7 5 2 8" xfId="22285" xr:uid="{00000000-0005-0000-0000-000020630000}"/>
    <cellStyle name="Normal 7 5 2 9" xfId="24949" xr:uid="{00000000-0005-0000-0000-000021630000}"/>
    <cellStyle name="Normal 7 5 3" xfId="1573" xr:uid="{00000000-0005-0000-0000-000022630000}"/>
    <cellStyle name="Normal 7 5 3 2" xfId="4194" xr:uid="{00000000-0005-0000-0000-000023630000}"/>
    <cellStyle name="Normal 7 5 3 2 2" xfId="5596" xr:uid="{00000000-0005-0000-0000-000024630000}"/>
    <cellStyle name="Normal 7 5 3 2 2 2" xfId="7020" xr:uid="{00000000-0005-0000-0000-000025630000}"/>
    <cellStyle name="Normal 7 5 3 2 2 2 2" xfId="22312" xr:uid="{00000000-0005-0000-0000-000026630000}"/>
    <cellStyle name="Normal 7 5 3 2 2 2 3" xfId="27966" xr:uid="{00000000-0005-0000-0000-000027630000}"/>
    <cellStyle name="Normal 7 5 3 2 2 3" xfId="22311" xr:uid="{00000000-0005-0000-0000-000028630000}"/>
    <cellStyle name="Normal 7 5 3 2 2 4" xfId="27965" xr:uid="{00000000-0005-0000-0000-000029630000}"/>
    <cellStyle name="Normal 7 5 3 2 3" xfId="5906" xr:uid="{00000000-0005-0000-0000-00002A630000}"/>
    <cellStyle name="Normal 7 5 3 2 3 2" xfId="7021" xr:uid="{00000000-0005-0000-0000-00002B630000}"/>
    <cellStyle name="Normal 7 5 3 2 3 2 2" xfId="22314" xr:uid="{00000000-0005-0000-0000-00002C630000}"/>
    <cellStyle name="Normal 7 5 3 2 3 2 3" xfId="27968" xr:uid="{00000000-0005-0000-0000-00002D630000}"/>
    <cellStyle name="Normal 7 5 3 2 3 3" xfId="22313" xr:uid="{00000000-0005-0000-0000-00002E630000}"/>
    <cellStyle name="Normal 7 5 3 2 3 4" xfId="27967" xr:uid="{00000000-0005-0000-0000-00002F630000}"/>
    <cellStyle name="Normal 7 5 3 2 4" xfId="5025" xr:uid="{00000000-0005-0000-0000-000030630000}"/>
    <cellStyle name="Normal 7 5 3 2 4 2" xfId="7022" xr:uid="{00000000-0005-0000-0000-000031630000}"/>
    <cellStyle name="Normal 7 5 3 2 4 2 2" xfId="27970" xr:uid="{00000000-0005-0000-0000-000032630000}"/>
    <cellStyle name="Normal 7 5 3 2 4 3" xfId="22315" xr:uid="{00000000-0005-0000-0000-000033630000}"/>
    <cellStyle name="Normal 7 5 3 2 4 4" xfId="27969" xr:uid="{00000000-0005-0000-0000-000034630000}"/>
    <cellStyle name="Normal 7 5 3 2 5" xfId="7019" xr:uid="{00000000-0005-0000-0000-000035630000}"/>
    <cellStyle name="Normal 7 5 3 2 5 2" xfId="27971" xr:uid="{00000000-0005-0000-0000-000036630000}"/>
    <cellStyle name="Normal 7 5 3 2 6" xfId="22310" xr:uid="{00000000-0005-0000-0000-000037630000}"/>
    <cellStyle name="Normal 7 5 3 2 7" xfId="25046" xr:uid="{00000000-0005-0000-0000-000038630000}"/>
    <cellStyle name="Normal 7 5 3 2 8" xfId="27964" xr:uid="{00000000-0005-0000-0000-000039630000}"/>
    <cellStyle name="Normal 7 5 3 3" xfId="5595" xr:uid="{00000000-0005-0000-0000-00003A630000}"/>
    <cellStyle name="Normal 7 5 3 3 2" xfId="7023" xr:uid="{00000000-0005-0000-0000-00003B630000}"/>
    <cellStyle name="Normal 7 5 3 3 2 2" xfId="22317" xr:uid="{00000000-0005-0000-0000-00003C630000}"/>
    <cellStyle name="Normal 7 5 3 3 2 3" xfId="27973" xr:uid="{00000000-0005-0000-0000-00003D630000}"/>
    <cellStyle name="Normal 7 5 3 3 3" xfId="22316" xr:uid="{00000000-0005-0000-0000-00003E630000}"/>
    <cellStyle name="Normal 7 5 3 3 4" xfId="27972" xr:uid="{00000000-0005-0000-0000-00003F630000}"/>
    <cellStyle name="Normal 7 5 3 4" xfId="5905" xr:uid="{00000000-0005-0000-0000-000040630000}"/>
    <cellStyle name="Normal 7 5 3 4 2" xfId="7024" xr:uid="{00000000-0005-0000-0000-000041630000}"/>
    <cellStyle name="Normal 7 5 3 4 2 2" xfId="22319" xr:uid="{00000000-0005-0000-0000-000042630000}"/>
    <cellStyle name="Normal 7 5 3 4 2 3" xfId="27975" xr:uid="{00000000-0005-0000-0000-000043630000}"/>
    <cellStyle name="Normal 7 5 3 4 3" xfId="22318" xr:uid="{00000000-0005-0000-0000-000044630000}"/>
    <cellStyle name="Normal 7 5 3 4 4" xfId="27974" xr:uid="{00000000-0005-0000-0000-000045630000}"/>
    <cellStyle name="Normal 7 5 3 5" xfId="5024" xr:uid="{00000000-0005-0000-0000-000046630000}"/>
    <cellStyle name="Normal 7 5 3 5 2" xfId="7025" xr:uid="{00000000-0005-0000-0000-000047630000}"/>
    <cellStyle name="Normal 7 5 3 5 2 2" xfId="27977" xr:uid="{00000000-0005-0000-0000-000048630000}"/>
    <cellStyle name="Normal 7 5 3 5 3" xfId="22320" xr:uid="{00000000-0005-0000-0000-000049630000}"/>
    <cellStyle name="Normal 7 5 3 5 4" xfId="27976" xr:uid="{00000000-0005-0000-0000-00004A630000}"/>
    <cellStyle name="Normal 7 5 3 6" xfId="7018" xr:uid="{00000000-0005-0000-0000-00004B630000}"/>
    <cellStyle name="Normal 7 5 3 6 2" xfId="27978" xr:uid="{00000000-0005-0000-0000-00004C630000}"/>
    <cellStyle name="Normal 7 5 3 7" xfId="22309" xr:uid="{00000000-0005-0000-0000-00004D630000}"/>
    <cellStyle name="Normal 7 5 3 8" xfId="24926" xr:uid="{00000000-0005-0000-0000-00004E630000}"/>
    <cellStyle name="Normal 7 5 3 9" xfId="27963" xr:uid="{00000000-0005-0000-0000-00004F630000}"/>
    <cellStyle name="Normal 7 5 4" xfId="3936" xr:uid="{00000000-0005-0000-0000-000050630000}"/>
    <cellStyle name="Normal 7 5 4 2" xfId="5597" xr:uid="{00000000-0005-0000-0000-000051630000}"/>
    <cellStyle name="Normal 7 5 4 2 2" xfId="7026" xr:uid="{00000000-0005-0000-0000-000052630000}"/>
    <cellStyle name="Normal 7 5 4 2 2 2" xfId="22323" xr:uid="{00000000-0005-0000-0000-000053630000}"/>
    <cellStyle name="Normal 7 5 4 2 2 3" xfId="27980" xr:uid="{00000000-0005-0000-0000-000054630000}"/>
    <cellStyle name="Normal 7 5 4 2 3" xfId="22322" xr:uid="{00000000-0005-0000-0000-000055630000}"/>
    <cellStyle name="Normal 7 5 4 2 4" xfId="27979" xr:uid="{00000000-0005-0000-0000-000056630000}"/>
    <cellStyle name="Normal 7 5 4 3" xfId="5907" xr:uid="{00000000-0005-0000-0000-000057630000}"/>
    <cellStyle name="Normal 7 5 4 3 2" xfId="7027" xr:uid="{00000000-0005-0000-0000-000058630000}"/>
    <cellStyle name="Normal 7 5 4 3 2 2" xfId="22325" xr:uid="{00000000-0005-0000-0000-000059630000}"/>
    <cellStyle name="Normal 7 5 4 3 2 3" xfId="27982" xr:uid="{00000000-0005-0000-0000-00005A630000}"/>
    <cellStyle name="Normal 7 5 4 3 3" xfId="22324" xr:uid="{00000000-0005-0000-0000-00005B630000}"/>
    <cellStyle name="Normal 7 5 4 3 4" xfId="27981" xr:uid="{00000000-0005-0000-0000-00005C630000}"/>
    <cellStyle name="Normal 7 5 4 4" xfId="5026" xr:uid="{00000000-0005-0000-0000-00005D630000}"/>
    <cellStyle name="Normal 7 5 4 4 2" xfId="7028" xr:uid="{00000000-0005-0000-0000-00005E630000}"/>
    <cellStyle name="Normal 7 5 4 4 2 2" xfId="27984" xr:uid="{00000000-0005-0000-0000-00005F630000}"/>
    <cellStyle name="Normal 7 5 4 4 3" xfId="22326" xr:uid="{00000000-0005-0000-0000-000060630000}"/>
    <cellStyle name="Normal 7 5 4 4 4" xfId="27983" xr:uid="{00000000-0005-0000-0000-000061630000}"/>
    <cellStyle name="Normal 7 5 4 5" xfId="22321" xr:uid="{00000000-0005-0000-0000-000062630000}"/>
    <cellStyle name="Normal 7 5 5" xfId="5590" xr:uid="{00000000-0005-0000-0000-000063630000}"/>
    <cellStyle name="Normal 7 5 5 2" xfId="7029" xr:uid="{00000000-0005-0000-0000-000064630000}"/>
    <cellStyle name="Normal 7 5 5 2 2" xfId="22328" xr:uid="{00000000-0005-0000-0000-000065630000}"/>
    <cellStyle name="Normal 7 5 5 2 3" xfId="27986" xr:uid="{00000000-0005-0000-0000-000066630000}"/>
    <cellStyle name="Normal 7 5 5 3" xfId="22327" xr:uid="{00000000-0005-0000-0000-000067630000}"/>
    <cellStyle name="Normal 7 5 5 4" xfId="27985" xr:uid="{00000000-0005-0000-0000-000068630000}"/>
    <cellStyle name="Normal 7 5 6" xfId="5900" xr:uid="{00000000-0005-0000-0000-000069630000}"/>
    <cellStyle name="Normal 7 5 6 2" xfId="7030" xr:uid="{00000000-0005-0000-0000-00006A630000}"/>
    <cellStyle name="Normal 7 5 6 2 2" xfId="22330" xr:uid="{00000000-0005-0000-0000-00006B630000}"/>
    <cellStyle name="Normal 7 5 6 2 3" xfId="27988" xr:uid="{00000000-0005-0000-0000-00006C630000}"/>
    <cellStyle name="Normal 7 5 6 3" xfId="22329" xr:uid="{00000000-0005-0000-0000-00006D630000}"/>
    <cellStyle name="Normal 7 5 6 4" xfId="27987" xr:uid="{00000000-0005-0000-0000-00006E630000}"/>
    <cellStyle name="Normal 7 5 7" xfId="5019" xr:uid="{00000000-0005-0000-0000-00006F630000}"/>
    <cellStyle name="Normal 7 5 7 2" xfId="7031" xr:uid="{00000000-0005-0000-0000-000070630000}"/>
    <cellStyle name="Normal 7 5 7 2 2" xfId="27990" xr:uid="{00000000-0005-0000-0000-000071630000}"/>
    <cellStyle name="Normal 7 5 7 3" xfId="22331" xr:uid="{00000000-0005-0000-0000-000072630000}"/>
    <cellStyle name="Normal 7 5 7 4" xfId="27989" xr:uid="{00000000-0005-0000-0000-000073630000}"/>
    <cellStyle name="Normal 7 5 8" xfId="22284" xr:uid="{00000000-0005-0000-0000-000074630000}"/>
    <cellStyle name="Normal 7 5 9" xfId="24812" xr:uid="{00000000-0005-0000-0000-000075630000}"/>
    <cellStyle name="Normal 7 5 9 2" xfId="27991" xr:uid="{00000000-0005-0000-0000-000076630000}"/>
    <cellStyle name="Normal 7 6" xfId="1076" xr:uid="{00000000-0005-0000-0000-000077630000}"/>
    <cellStyle name="Normal 7 6 2" xfId="3815" xr:uid="{00000000-0005-0000-0000-000078630000}"/>
    <cellStyle name="Normal 7 6 2 10" xfId="27992" xr:uid="{00000000-0005-0000-0000-000079630000}"/>
    <cellStyle name="Normal 7 6 2 2" xfId="4220" xr:uid="{00000000-0005-0000-0000-00007A630000}"/>
    <cellStyle name="Normal 7 6 2 2 2" xfId="5030" xr:uid="{00000000-0005-0000-0000-00007B630000}"/>
    <cellStyle name="Normal 7 6 2 2 2 2" xfId="5601" xr:uid="{00000000-0005-0000-0000-00007C630000}"/>
    <cellStyle name="Normal 7 6 2 2 2 2 2" xfId="7035" xr:uid="{00000000-0005-0000-0000-00007D630000}"/>
    <cellStyle name="Normal 7 6 2 2 2 2 2 2" xfId="22337" xr:uid="{00000000-0005-0000-0000-00007E630000}"/>
    <cellStyle name="Normal 7 6 2 2 2 2 2 3" xfId="27996" xr:uid="{00000000-0005-0000-0000-00007F630000}"/>
    <cellStyle name="Normal 7 6 2 2 2 2 3" xfId="22336" xr:uid="{00000000-0005-0000-0000-000080630000}"/>
    <cellStyle name="Normal 7 6 2 2 2 2 4" xfId="27995" xr:uid="{00000000-0005-0000-0000-000081630000}"/>
    <cellStyle name="Normal 7 6 2 2 2 3" xfId="5911" xr:uid="{00000000-0005-0000-0000-000082630000}"/>
    <cellStyle name="Normal 7 6 2 2 2 3 2" xfId="7036" xr:uid="{00000000-0005-0000-0000-000083630000}"/>
    <cellStyle name="Normal 7 6 2 2 2 3 2 2" xfId="22339" xr:uid="{00000000-0005-0000-0000-000084630000}"/>
    <cellStyle name="Normal 7 6 2 2 2 3 2 3" xfId="27998" xr:uid="{00000000-0005-0000-0000-000085630000}"/>
    <cellStyle name="Normal 7 6 2 2 2 3 3" xfId="22338" xr:uid="{00000000-0005-0000-0000-000086630000}"/>
    <cellStyle name="Normal 7 6 2 2 2 3 4" xfId="27997" xr:uid="{00000000-0005-0000-0000-000087630000}"/>
    <cellStyle name="Normal 7 6 2 2 2 4" xfId="7034" xr:uid="{00000000-0005-0000-0000-000088630000}"/>
    <cellStyle name="Normal 7 6 2 2 2 4 2" xfId="22340" xr:uid="{00000000-0005-0000-0000-000089630000}"/>
    <cellStyle name="Normal 7 6 2 2 2 4 3" xfId="27999" xr:uid="{00000000-0005-0000-0000-00008A630000}"/>
    <cellStyle name="Normal 7 6 2 2 2 5" xfId="22335" xr:uid="{00000000-0005-0000-0000-00008B630000}"/>
    <cellStyle name="Normal 7 6 2 2 2 6" xfId="27994" xr:uid="{00000000-0005-0000-0000-00008C630000}"/>
    <cellStyle name="Normal 7 6 2 2 3" xfId="5600" xr:uid="{00000000-0005-0000-0000-00008D630000}"/>
    <cellStyle name="Normal 7 6 2 2 3 2" xfId="7037" xr:uid="{00000000-0005-0000-0000-00008E630000}"/>
    <cellStyle name="Normal 7 6 2 2 3 2 2" xfId="22342" xr:uid="{00000000-0005-0000-0000-00008F630000}"/>
    <cellStyle name="Normal 7 6 2 2 3 2 3" xfId="28001" xr:uid="{00000000-0005-0000-0000-000090630000}"/>
    <cellStyle name="Normal 7 6 2 2 3 3" xfId="22341" xr:uid="{00000000-0005-0000-0000-000091630000}"/>
    <cellStyle name="Normal 7 6 2 2 3 4" xfId="28000" xr:uid="{00000000-0005-0000-0000-000092630000}"/>
    <cellStyle name="Normal 7 6 2 2 4" xfId="5910" xr:uid="{00000000-0005-0000-0000-000093630000}"/>
    <cellStyle name="Normal 7 6 2 2 4 2" xfId="7038" xr:uid="{00000000-0005-0000-0000-000094630000}"/>
    <cellStyle name="Normal 7 6 2 2 4 2 2" xfId="22344" xr:uid="{00000000-0005-0000-0000-000095630000}"/>
    <cellStyle name="Normal 7 6 2 2 4 2 3" xfId="28003" xr:uid="{00000000-0005-0000-0000-000096630000}"/>
    <cellStyle name="Normal 7 6 2 2 4 3" xfId="22343" xr:uid="{00000000-0005-0000-0000-000097630000}"/>
    <cellStyle name="Normal 7 6 2 2 4 4" xfId="28002" xr:uid="{00000000-0005-0000-0000-000098630000}"/>
    <cellStyle name="Normal 7 6 2 2 5" xfId="5029" xr:uid="{00000000-0005-0000-0000-000099630000}"/>
    <cellStyle name="Normal 7 6 2 2 5 2" xfId="7039" xr:uid="{00000000-0005-0000-0000-00009A630000}"/>
    <cellStyle name="Normal 7 6 2 2 5 2 2" xfId="28005" xr:uid="{00000000-0005-0000-0000-00009B630000}"/>
    <cellStyle name="Normal 7 6 2 2 5 3" xfId="22345" xr:uid="{00000000-0005-0000-0000-00009C630000}"/>
    <cellStyle name="Normal 7 6 2 2 5 4" xfId="28004" xr:uid="{00000000-0005-0000-0000-00009D630000}"/>
    <cellStyle name="Normal 7 6 2 2 6" xfId="7033" xr:uid="{00000000-0005-0000-0000-00009E630000}"/>
    <cellStyle name="Normal 7 6 2 2 6 2" xfId="28006" xr:uid="{00000000-0005-0000-0000-00009F630000}"/>
    <cellStyle name="Normal 7 6 2 2 7" xfId="22334" xr:uid="{00000000-0005-0000-0000-0000A0630000}"/>
    <cellStyle name="Normal 7 6 2 2 8" xfId="25072" xr:uid="{00000000-0005-0000-0000-0000A1630000}"/>
    <cellStyle name="Normal 7 6 2 2 9" xfId="27993" xr:uid="{00000000-0005-0000-0000-0000A2630000}"/>
    <cellStyle name="Normal 7 6 2 3" xfId="5031" xr:uid="{00000000-0005-0000-0000-0000A3630000}"/>
    <cellStyle name="Normal 7 6 2 3 2" xfId="5602" xr:uid="{00000000-0005-0000-0000-0000A4630000}"/>
    <cellStyle name="Normal 7 6 2 3 2 2" xfId="7041" xr:uid="{00000000-0005-0000-0000-0000A5630000}"/>
    <cellStyle name="Normal 7 6 2 3 2 2 2" xfId="22348" xr:uid="{00000000-0005-0000-0000-0000A6630000}"/>
    <cellStyle name="Normal 7 6 2 3 2 2 3" xfId="28009" xr:uid="{00000000-0005-0000-0000-0000A7630000}"/>
    <cellStyle name="Normal 7 6 2 3 2 3" xfId="22347" xr:uid="{00000000-0005-0000-0000-0000A8630000}"/>
    <cellStyle name="Normal 7 6 2 3 2 4" xfId="28008" xr:uid="{00000000-0005-0000-0000-0000A9630000}"/>
    <cellStyle name="Normal 7 6 2 3 3" xfId="5912" xr:uid="{00000000-0005-0000-0000-0000AA630000}"/>
    <cellStyle name="Normal 7 6 2 3 3 2" xfId="7042" xr:uid="{00000000-0005-0000-0000-0000AB630000}"/>
    <cellStyle name="Normal 7 6 2 3 3 2 2" xfId="22350" xr:uid="{00000000-0005-0000-0000-0000AC630000}"/>
    <cellStyle name="Normal 7 6 2 3 3 2 3" xfId="28011" xr:uid="{00000000-0005-0000-0000-0000AD630000}"/>
    <cellStyle name="Normal 7 6 2 3 3 3" xfId="22349" xr:uid="{00000000-0005-0000-0000-0000AE630000}"/>
    <cellStyle name="Normal 7 6 2 3 3 4" xfId="28010" xr:uid="{00000000-0005-0000-0000-0000AF630000}"/>
    <cellStyle name="Normal 7 6 2 3 4" xfId="7040" xr:uid="{00000000-0005-0000-0000-0000B0630000}"/>
    <cellStyle name="Normal 7 6 2 3 4 2" xfId="22351" xr:uid="{00000000-0005-0000-0000-0000B1630000}"/>
    <cellStyle name="Normal 7 6 2 3 4 3" xfId="28012" xr:uid="{00000000-0005-0000-0000-0000B2630000}"/>
    <cellStyle name="Normal 7 6 2 3 5" xfId="22346" xr:uid="{00000000-0005-0000-0000-0000B3630000}"/>
    <cellStyle name="Normal 7 6 2 3 6" xfId="28007" xr:uid="{00000000-0005-0000-0000-0000B4630000}"/>
    <cellStyle name="Normal 7 6 2 4" xfId="5599" xr:uid="{00000000-0005-0000-0000-0000B5630000}"/>
    <cellStyle name="Normal 7 6 2 4 2" xfId="7043" xr:uid="{00000000-0005-0000-0000-0000B6630000}"/>
    <cellStyle name="Normal 7 6 2 4 2 2" xfId="22353" xr:uid="{00000000-0005-0000-0000-0000B7630000}"/>
    <cellStyle name="Normal 7 6 2 4 2 3" xfId="28014" xr:uid="{00000000-0005-0000-0000-0000B8630000}"/>
    <cellStyle name="Normal 7 6 2 4 3" xfId="22352" xr:uid="{00000000-0005-0000-0000-0000B9630000}"/>
    <cellStyle name="Normal 7 6 2 4 4" xfId="28013" xr:uid="{00000000-0005-0000-0000-0000BA630000}"/>
    <cellStyle name="Normal 7 6 2 5" xfId="5909" xr:uid="{00000000-0005-0000-0000-0000BB630000}"/>
    <cellStyle name="Normal 7 6 2 5 2" xfId="7044" xr:uid="{00000000-0005-0000-0000-0000BC630000}"/>
    <cellStyle name="Normal 7 6 2 5 2 2" xfId="22355" xr:uid="{00000000-0005-0000-0000-0000BD630000}"/>
    <cellStyle name="Normal 7 6 2 5 2 3" xfId="28016" xr:uid="{00000000-0005-0000-0000-0000BE630000}"/>
    <cellStyle name="Normal 7 6 2 5 3" xfId="22354" xr:uid="{00000000-0005-0000-0000-0000BF630000}"/>
    <cellStyle name="Normal 7 6 2 5 4" xfId="28015" xr:uid="{00000000-0005-0000-0000-0000C0630000}"/>
    <cellStyle name="Normal 7 6 2 6" xfId="5028" xr:uid="{00000000-0005-0000-0000-0000C1630000}"/>
    <cellStyle name="Normal 7 6 2 6 2" xfId="7045" xr:uid="{00000000-0005-0000-0000-0000C2630000}"/>
    <cellStyle name="Normal 7 6 2 6 2 2" xfId="28018" xr:uid="{00000000-0005-0000-0000-0000C3630000}"/>
    <cellStyle name="Normal 7 6 2 6 3" xfId="22356" xr:uid="{00000000-0005-0000-0000-0000C4630000}"/>
    <cellStyle name="Normal 7 6 2 6 4" xfId="28017" xr:uid="{00000000-0005-0000-0000-0000C5630000}"/>
    <cellStyle name="Normal 7 6 2 7" xfId="7032" xr:uid="{00000000-0005-0000-0000-0000C6630000}"/>
    <cellStyle name="Normal 7 6 2 7 2" xfId="28019" xr:uid="{00000000-0005-0000-0000-0000C7630000}"/>
    <cellStyle name="Normal 7 6 2 8" xfId="22333" xr:uid="{00000000-0005-0000-0000-0000C8630000}"/>
    <cellStyle name="Normal 7 6 2 9" xfId="24952" xr:uid="{00000000-0005-0000-0000-0000C9630000}"/>
    <cellStyle name="Normal 7 6 3" xfId="3537" xr:uid="{00000000-0005-0000-0000-0000CA630000}"/>
    <cellStyle name="Normal 7 6 3 2" xfId="4199" xr:uid="{00000000-0005-0000-0000-0000CB630000}"/>
    <cellStyle name="Normal 7 6 3 2 2" xfId="5604" xr:uid="{00000000-0005-0000-0000-0000CC630000}"/>
    <cellStyle name="Normal 7 6 3 2 2 2" xfId="7048" xr:uid="{00000000-0005-0000-0000-0000CD630000}"/>
    <cellStyle name="Normal 7 6 3 2 2 2 2" xfId="22360" xr:uid="{00000000-0005-0000-0000-0000CE630000}"/>
    <cellStyle name="Normal 7 6 3 2 2 2 3" xfId="28023" xr:uid="{00000000-0005-0000-0000-0000CF630000}"/>
    <cellStyle name="Normal 7 6 3 2 2 3" xfId="22359" xr:uid="{00000000-0005-0000-0000-0000D0630000}"/>
    <cellStyle name="Normal 7 6 3 2 2 4" xfId="28022" xr:uid="{00000000-0005-0000-0000-0000D1630000}"/>
    <cellStyle name="Normal 7 6 3 2 3" xfId="5914" xr:uid="{00000000-0005-0000-0000-0000D2630000}"/>
    <cellStyle name="Normal 7 6 3 2 3 2" xfId="7049" xr:uid="{00000000-0005-0000-0000-0000D3630000}"/>
    <cellStyle name="Normal 7 6 3 2 3 2 2" xfId="22362" xr:uid="{00000000-0005-0000-0000-0000D4630000}"/>
    <cellStyle name="Normal 7 6 3 2 3 2 3" xfId="28025" xr:uid="{00000000-0005-0000-0000-0000D5630000}"/>
    <cellStyle name="Normal 7 6 3 2 3 3" xfId="22361" xr:uid="{00000000-0005-0000-0000-0000D6630000}"/>
    <cellStyle name="Normal 7 6 3 2 3 4" xfId="28024" xr:uid="{00000000-0005-0000-0000-0000D7630000}"/>
    <cellStyle name="Normal 7 6 3 2 4" xfId="5033" xr:uid="{00000000-0005-0000-0000-0000D8630000}"/>
    <cellStyle name="Normal 7 6 3 2 4 2" xfId="7050" xr:uid="{00000000-0005-0000-0000-0000D9630000}"/>
    <cellStyle name="Normal 7 6 3 2 4 2 2" xfId="28027" xr:uid="{00000000-0005-0000-0000-0000DA630000}"/>
    <cellStyle name="Normal 7 6 3 2 4 3" xfId="22363" xr:uid="{00000000-0005-0000-0000-0000DB630000}"/>
    <cellStyle name="Normal 7 6 3 2 4 4" xfId="28026" xr:uid="{00000000-0005-0000-0000-0000DC630000}"/>
    <cellStyle name="Normal 7 6 3 2 5" xfId="7047" xr:uid="{00000000-0005-0000-0000-0000DD630000}"/>
    <cellStyle name="Normal 7 6 3 2 5 2" xfId="28028" xr:uid="{00000000-0005-0000-0000-0000DE630000}"/>
    <cellStyle name="Normal 7 6 3 2 6" xfId="22358" xr:uid="{00000000-0005-0000-0000-0000DF630000}"/>
    <cellStyle name="Normal 7 6 3 2 7" xfId="25051" xr:uid="{00000000-0005-0000-0000-0000E0630000}"/>
    <cellStyle name="Normal 7 6 3 2 8" xfId="28021" xr:uid="{00000000-0005-0000-0000-0000E1630000}"/>
    <cellStyle name="Normal 7 6 3 3" xfId="5603" xr:uid="{00000000-0005-0000-0000-0000E2630000}"/>
    <cellStyle name="Normal 7 6 3 3 2" xfId="7051" xr:uid="{00000000-0005-0000-0000-0000E3630000}"/>
    <cellStyle name="Normal 7 6 3 3 2 2" xfId="22365" xr:uid="{00000000-0005-0000-0000-0000E4630000}"/>
    <cellStyle name="Normal 7 6 3 3 2 3" xfId="28030" xr:uid="{00000000-0005-0000-0000-0000E5630000}"/>
    <cellStyle name="Normal 7 6 3 3 3" xfId="22364" xr:uid="{00000000-0005-0000-0000-0000E6630000}"/>
    <cellStyle name="Normal 7 6 3 3 4" xfId="28029" xr:uid="{00000000-0005-0000-0000-0000E7630000}"/>
    <cellStyle name="Normal 7 6 3 4" xfId="5913" xr:uid="{00000000-0005-0000-0000-0000E8630000}"/>
    <cellStyle name="Normal 7 6 3 4 2" xfId="7052" xr:uid="{00000000-0005-0000-0000-0000E9630000}"/>
    <cellStyle name="Normal 7 6 3 4 2 2" xfId="22367" xr:uid="{00000000-0005-0000-0000-0000EA630000}"/>
    <cellStyle name="Normal 7 6 3 4 2 3" xfId="28032" xr:uid="{00000000-0005-0000-0000-0000EB630000}"/>
    <cellStyle name="Normal 7 6 3 4 3" xfId="22366" xr:uid="{00000000-0005-0000-0000-0000EC630000}"/>
    <cellStyle name="Normal 7 6 3 4 4" xfId="28031" xr:uid="{00000000-0005-0000-0000-0000ED630000}"/>
    <cellStyle name="Normal 7 6 3 5" xfId="5032" xr:uid="{00000000-0005-0000-0000-0000EE630000}"/>
    <cellStyle name="Normal 7 6 3 5 2" xfId="7053" xr:uid="{00000000-0005-0000-0000-0000EF630000}"/>
    <cellStyle name="Normal 7 6 3 5 2 2" xfId="28034" xr:uid="{00000000-0005-0000-0000-0000F0630000}"/>
    <cellStyle name="Normal 7 6 3 5 3" xfId="22368" xr:uid="{00000000-0005-0000-0000-0000F1630000}"/>
    <cellStyle name="Normal 7 6 3 5 4" xfId="28033" xr:uid="{00000000-0005-0000-0000-0000F2630000}"/>
    <cellStyle name="Normal 7 6 3 6" xfId="7046" xr:uid="{00000000-0005-0000-0000-0000F3630000}"/>
    <cellStyle name="Normal 7 6 3 6 2" xfId="28035" xr:uid="{00000000-0005-0000-0000-0000F4630000}"/>
    <cellStyle name="Normal 7 6 3 7" xfId="22357" xr:uid="{00000000-0005-0000-0000-0000F5630000}"/>
    <cellStyle name="Normal 7 6 3 8" xfId="24931" xr:uid="{00000000-0005-0000-0000-0000F6630000}"/>
    <cellStyle name="Normal 7 6 3 9" xfId="28020" xr:uid="{00000000-0005-0000-0000-0000F7630000}"/>
    <cellStyle name="Normal 7 6 4" xfId="3946" xr:uid="{00000000-0005-0000-0000-0000F8630000}"/>
    <cellStyle name="Normal 7 6 4 2" xfId="5605" xr:uid="{00000000-0005-0000-0000-0000F9630000}"/>
    <cellStyle name="Normal 7 6 4 2 2" xfId="7054" xr:uid="{00000000-0005-0000-0000-0000FA630000}"/>
    <cellStyle name="Normal 7 6 4 2 2 2" xfId="22371" xr:uid="{00000000-0005-0000-0000-0000FB630000}"/>
    <cellStyle name="Normal 7 6 4 2 2 3" xfId="28037" xr:uid="{00000000-0005-0000-0000-0000FC630000}"/>
    <cellStyle name="Normal 7 6 4 2 3" xfId="22370" xr:uid="{00000000-0005-0000-0000-0000FD630000}"/>
    <cellStyle name="Normal 7 6 4 2 4" xfId="28036" xr:uid="{00000000-0005-0000-0000-0000FE630000}"/>
    <cellStyle name="Normal 7 6 4 3" xfId="5915" xr:uid="{00000000-0005-0000-0000-0000FF630000}"/>
    <cellStyle name="Normal 7 6 4 3 2" xfId="7055" xr:uid="{00000000-0005-0000-0000-000000640000}"/>
    <cellStyle name="Normal 7 6 4 3 2 2" xfId="22373" xr:uid="{00000000-0005-0000-0000-000001640000}"/>
    <cellStyle name="Normal 7 6 4 3 2 3" xfId="28039" xr:uid="{00000000-0005-0000-0000-000002640000}"/>
    <cellStyle name="Normal 7 6 4 3 3" xfId="22372" xr:uid="{00000000-0005-0000-0000-000003640000}"/>
    <cellStyle name="Normal 7 6 4 3 4" xfId="28038" xr:uid="{00000000-0005-0000-0000-000004640000}"/>
    <cellStyle name="Normal 7 6 4 4" xfId="5034" xr:uid="{00000000-0005-0000-0000-000005640000}"/>
    <cellStyle name="Normal 7 6 4 4 2" xfId="7056" xr:uid="{00000000-0005-0000-0000-000006640000}"/>
    <cellStyle name="Normal 7 6 4 4 2 2" xfId="28041" xr:uid="{00000000-0005-0000-0000-000007640000}"/>
    <cellStyle name="Normal 7 6 4 4 3" xfId="22374" xr:uid="{00000000-0005-0000-0000-000008640000}"/>
    <cellStyle name="Normal 7 6 4 4 4" xfId="28040" xr:uid="{00000000-0005-0000-0000-000009640000}"/>
    <cellStyle name="Normal 7 6 4 5" xfId="22369" xr:uid="{00000000-0005-0000-0000-00000A640000}"/>
    <cellStyle name="Normal 7 6 5" xfId="5598" xr:uid="{00000000-0005-0000-0000-00000B640000}"/>
    <cellStyle name="Normal 7 6 5 2" xfId="7057" xr:uid="{00000000-0005-0000-0000-00000C640000}"/>
    <cellStyle name="Normal 7 6 5 2 2" xfId="22376" xr:uid="{00000000-0005-0000-0000-00000D640000}"/>
    <cellStyle name="Normal 7 6 5 2 3" xfId="28043" xr:uid="{00000000-0005-0000-0000-00000E640000}"/>
    <cellStyle name="Normal 7 6 5 3" xfId="22375" xr:uid="{00000000-0005-0000-0000-00000F640000}"/>
    <cellStyle name="Normal 7 6 5 4" xfId="28042" xr:uid="{00000000-0005-0000-0000-000010640000}"/>
    <cellStyle name="Normal 7 6 6" xfId="5908" xr:uid="{00000000-0005-0000-0000-000011640000}"/>
    <cellStyle name="Normal 7 6 6 2" xfId="7058" xr:uid="{00000000-0005-0000-0000-000012640000}"/>
    <cellStyle name="Normal 7 6 6 2 2" xfId="22378" xr:uid="{00000000-0005-0000-0000-000013640000}"/>
    <cellStyle name="Normal 7 6 6 2 3" xfId="28045" xr:uid="{00000000-0005-0000-0000-000014640000}"/>
    <cellStyle name="Normal 7 6 6 3" xfId="22377" xr:uid="{00000000-0005-0000-0000-000015640000}"/>
    <cellStyle name="Normal 7 6 6 4" xfId="28044" xr:uid="{00000000-0005-0000-0000-000016640000}"/>
    <cellStyle name="Normal 7 6 7" xfId="5027" xr:uid="{00000000-0005-0000-0000-000017640000}"/>
    <cellStyle name="Normal 7 6 7 2" xfId="7059" xr:uid="{00000000-0005-0000-0000-000018640000}"/>
    <cellStyle name="Normal 7 6 7 2 2" xfId="28047" xr:uid="{00000000-0005-0000-0000-000019640000}"/>
    <cellStyle name="Normal 7 6 7 3" xfId="22379" xr:uid="{00000000-0005-0000-0000-00001A640000}"/>
    <cellStyle name="Normal 7 6 7 4" xfId="28046" xr:uid="{00000000-0005-0000-0000-00001B640000}"/>
    <cellStyle name="Normal 7 6 8" xfId="22332" xr:uid="{00000000-0005-0000-0000-00001C640000}"/>
    <cellStyle name="Normal 7 6 9" xfId="24813" xr:uid="{00000000-0005-0000-0000-00001D640000}"/>
    <cellStyle name="Normal 7 7" xfId="1086" xr:uid="{00000000-0005-0000-0000-00001E640000}"/>
    <cellStyle name="Normal 7 7 2" xfId="3674" xr:uid="{00000000-0005-0000-0000-00001F640000}"/>
    <cellStyle name="Normal 7 7 2 2" xfId="4205" xr:uid="{00000000-0005-0000-0000-000020640000}"/>
    <cellStyle name="Normal 7 7 2 2 2" xfId="5608" xr:uid="{00000000-0005-0000-0000-000021640000}"/>
    <cellStyle name="Normal 7 7 2 2 2 2" xfId="7062" xr:uid="{00000000-0005-0000-0000-000022640000}"/>
    <cellStyle name="Normal 7 7 2 2 2 2 2" xfId="22384" xr:uid="{00000000-0005-0000-0000-000023640000}"/>
    <cellStyle name="Normal 7 7 2 2 2 2 3" xfId="28051" xr:uid="{00000000-0005-0000-0000-000024640000}"/>
    <cellStyle name="Normal 7 7 2 2 2 3" xfId="22383" xr:uid="{00000000-0005-0000-0000-000025640000}"/>
    <cellStyle name="Normal 7 7 2 2 2 4" xfId="28050" xr:uid="{00000000-0005-0000-0000-000026640000}"/>
    <cellStyle name="Normal 7 7 2 2 3" xfId="5918" xr:uid="{00000000-0005-0000-0000-000027640000}"/>
    <cellStyle name="Normal 7 7 2 2 3 2" xfId="7063" xr:uid="{00000000-0005-0000-0000-000028640000}"/>
    <cellStyle name="Normal 7 7 2 2 3 2 2" xfId="22386" xr:uid="{00000000-0005-0000-0000-000029640000}"/>
    <cellStyle name="Normal 7 7 2 2 3 2 3" xfId="28053" xr:uid="{00000000-0005-0000-0000-00002A640000}"/>
    <cellStyle name="Normal 7 7 2 2 3 3" xfId="22385" xr:uid="{00000000-0005-0000-0000-00002B640000}"/>
    <cellStyle name="Normal 7 7 2 2 3 4" xfId="28052" xr:uid="{00000000-0005-0000-0000-00002C640000}"/>
    <cellStyle name="Normal 7 7 2 2 4" xfId="5037" xr:uid="{00000000-0005-0000-0000-00002D640000}"/>
    <cellStyle name="Normal 7 7 2 2 4 2" xfId="7064" xr:uid="{00000000-0005-0000-0000-00002E640000}"/>
    <cellStyle name="Normal 7 7 2 2 4 2 2" xfId="28055" xr:uid="{00000000-0005-0000-0000-00002F640000}"/>
    <cellStyle name="Normal 7 7 2 2 4 3" xfId="22387" xr:uid="{00000000-0005-0000-0000-000030640000}"/>
    <cellStyle name="Normal 7 7 2 2 4 4" xfId="28054" xr:uid="{00000000-0005-0000-0000-000031640000}"/>
    <cellStyle name="Normal 7 7 2 2 5" xfId="7061" xr:uid="{00000000-0005-0000-0000-000032640000}"/>
    <cellStyle name="Normal 7 7 2 2 5 2" xfId="28056" xr:uid="{00000000-0005-0000-0000-000033640000}"/>
    <cellStyle name="Normal 7 7 2 2 6" xfId="22382" xr:uid="{00000000-0005-0000-0000-000034640000}"/>
    <cellStyle name="Normal 7 7 2 2 7" xfId="25057" xr:uid="{00000000-0005-0000-0000-000035640000}"/>
    <cellStyle name="Normal 7 7 2 2 8" xfId="28049" xr:uid="{00000000-0005-0000-0000-000036640000}"/>
    <cellStyle name="Normal 7 7 2 3" xfId="5607" xr:uid="{00000000-0005-0000-0000-000037640000}"/>
    <cellStyle name="Normal 7 7 2 3 2" xfId="7065" xr:uid="{00000000-0005-0000-0000-000038640000}"/>
    <cellStyle name="Normal 7 7 2 3 2 2" xfId="22389" xr:uid="{00000000-0005-0000-0000-000039640000}"/>
    <cellStyle name="Normal 7 7 2 3 2 3" xfId="28058" xr:uid="{00000000-0005-0000-0000-00003A640000}"/>
    <cellStyle name="Normal 7 7 2 3 3" xfId="22388" xr:uid="{00000000-0005-0000-0000-00003B640000}"/>
    <cellStyle name="Normal 7 7 2 3 4" xfId="28057" xr:uid="{00000000-0005-0000-0000-00003C640000}"/>
    <cellStyle name="Normal 7 7 2 4" xfId="5917" xr:uid="{00000000-0005-0000-0000-00003D640000}"/>
    <cellStyle name="Normal 7 7 2 4 2" xfId="7066" xr:uid="{00000000-0005-0000-0000-00003E640000}"/>
    <cellStyle name="Normal 7 7 2 4 2 2" xfId="22391" xr:uid="{00000000-0005-0000-0000-00003F640000}"/>
    <cellStyle name="Normal 7 7 2 4 2 3" xfId="28060" xr:uid="{00000000-0005-0000-0000-000040640000}"/>
    <cellStyle name="Normal 7 7 2 4 3" xfId="22390" xr:uid="{00000000-0005-0000-0000-000041640000}"/>
    <cellStyle name="Normal 7 7 2 4 4" xfId="28059" xr:uid="{00000000-0005-0000-0000-000042640000}"/>
    <cellStyle name="Normal 7 7 2 5" xfId="5036" xr:uid="{00000000-0005-0000-0000-000043640000}"/>
    <cellStyle name="Normal 7 7 2 5 2" xfId="7067" xr:uid="{00000000-0005-0000-0000-000044640000}"/>
    <cellStyle name="Normal 7 7 2 5 2 2" xfId="28062" xr:uid="{00000000-0005-0000-0000-000045640000}"/>
    <cellStyle name="Normal 7 7 2 5 3" xfId="22392" xr:uid="{00000000-0005-0000-0000-000046640000}"/>
    <cellStyle name="Normal 7 7 2 5 4" xfId="28061" xr:uid="{00000000-0005-0000-0000-000047640000}"/>
    <cellStyle name="Normal 7 7 2 6" xfId="7060" xr:uid="{00000000-0005-0000-0000-000048640000}"/>
    <cellStyle name="Normal 7 7 2 6 2" xfId="28063" xr:uid="{00000000-0005-0000-0000-000049640000}"/>
    <cellStyle name="Normal 7 7 2 7" xfId="22381" xr:uid="{00000000-0005-0000-0000-00004A640000}"/>
    <cellStyle name="Normal 7 7 2 8" xfId="24937" xr:uid="{00000000-0005-0000-0000-00004B640000}"/>
    <cellStyle name="Normal 7 7 2 9" xfId="28048" xr:uid="{00000000-0005-0000-0000-00004C640000}"/>
    <cellStyle name="Normal 7 7 3" xfId="3956" xr:uid="{00000000-0005-0000-0000-00004D640000}"/>
    <cellStyle name="Normal 7 7 3 2" xfId="5609" xr:uid="{00000000-0005-0000-0000-00004E640000}"/>
    <cellStyle name="Normal 7 7 3 2 2" xfId="7068" xr:uid="{00000000-0005-0000-0000-00004F640000}"/>
    <cellStyle name="Normal 7 7 3 2 2 2" xfId="22395" xr:uid="{00000000-0005-0000-0000-000050640000}"/>
    <cellStyle name="Normal 7 7 3 2 2 3" xfId="28065" xr:uid="{00000000-0005-0000-0000-000051640000}"/>
    <cellStyle name="Normal 7 7 3 2 3" xfId="22394" xr:uid="{00000000-0005-0000-0000-000052640000}"/>
    <cellStyle name="Normal 7 7 3 2 4" xfId="28064" xr:uid="{00000000-0005-0000-0000-000053640000}"/>
    <cellStyle name="Normal 7 7 3 3" xfId="5919" xr:uid="{00000000-0005-0000-0000-000054640000}"/>
    <cellStyle name="Normal 7 7 3 3 2" xfId="7069" xr:uid="{00000000-0005-0000-0000-000055640000}"/>
    <cellStyle name="Normal 7 7 3 3 2 2" xfId="22397" xr:uid="{00000000-0005-0000-0000-000056640000}"/>
    <cellStyle name="Normal 7 7 3 3 2 3" xfId="28067" xr:uid="{00000000-0005-0000-0000-000057640000}"/>
    <cellStyle name="Normal 7 7 3 3 3" xfId="22396" xr:uid="{00000000-0005-0000-0000-000058640000}"/>
    <cellStyle name="Normal 7 7 3 3 4" xfId="28066" xr:uid="{00000000-0005-0000-0000-000059640000}"/>
    <cellStyle name="Normal 7 7 3 4" xfId="5038" xr:uid="{00000000-0005-0000-0000-00005A640000}"/>
    <cellStyle name="Normal 7 7 3 4 2" xfId="7070" xr:uid="{00000000-0005-0000-0000-00005B640000}"/>
    <cellStyle name="Normal 7 7 3 4 2 2" xfId="28069" xr:uid="{00000000-0005-0000-0000-00005C640000}"/>
    <cellStyle name="Normal 7 7 3 4 3" xfId="22398" xr:uid="{00000000-0005-0000-0000-00005D640000}"/>
    <cellStyle name="Normal 7 7 3 4 4" xfId="28068" xr:uid="{00000000-0005-0000-0000-00005E640000}"/>
    <cellStyle name="Normal 7 7 3 5" xfId="22393" xr:uid="{00000000-0005-0000-0000-00005F640000}"/>
    <cellStyle name="Normal 7 7 4" xfId="5606" xr:uid="{00000000-0005-0000-0000-000060640000}"/>
    <cellStyle name="Normal 7 7 4 2" xfId="7071" xr:uid="{00000000-0005-0000-0000-000061640000}"/>
    <cellStyle name="Normal 7 7 4 2 2" xfId="22400" xr:uid="{00000000-0005-0000-0000-000062640000}"/>
    <cellStyle name="Normal 7 7 4 2 3" xfId="28071" xr:uid="{00000000-0005-0000-0000-000063640000}"/>
    <cellStyle name="Normal 7 7 4 3" xfId="22399" xr:uid="{00000000-0005-0000-0000-000064640000}"/>
    <cellStyle name="Normal 7 7 4 4" xfId="28070" xr:uid="{00000000-0005-0000-0000-000065640000}"/>
    <cellStyle name="Normal 7 7 5" xfId="5916" xr:uid="{00000000-0005-0000-0000-000066640000}"/>
    <cellStyle name="Normal 7 7 5 2" xfId="7072" xr:uid="{00000000-0005-0000-0000-000067640000}"/>
    <cellStyle name="Normal 7 7 5 2 2" xfId="22402" xr:uid="{00000000-0005-0000-0000-000068640000}"/>
    <cellStyle name="Normal 7 7 5 2 3" xfId="28073" xr:uid="{00000000-0005-0000-0000-000069640000}"/>
    <cellStyle name="Normal 7 7 5 3" xfId="22401" xr:uid="{00000000-0005-0000-0000-00006A640000}"/>
    <cellStyle name="Normal 7 7 5 4" xfId="28072" xr:uid="{00000000-0005-0000-0000-00006B640000}"/>
    <cellStyle name="Normal 7 7 6" xfId="5035" xr:uid="{00000000-0005-0000-0000-00006C640000}"/>
    <cellStyle name="Normal 7 7 6 2" xfId="7073" xr:uid="{00000000-0005-0000-0000-00006D640000}"/>
    <cellStyle name="Normal 7 7 6 2 2" xfId="28075" xr:uid="{00000000-0005-0000-0000-00006E640000}"/>
    <cellStyle name="Normal 7 7 6 3" xfId="22403" xr:uid="{00000000-0005-0000-0000-00006F640000}"/>
    <cellStyle name="Normal 7 7 6 4" xfId="28074" xr:uid="{00000000-0005-0000-0000-000070640000}"/>
    <cellStyle name="Normal 7 7 7" xfId="22380" xr:uid="{00000000-0005-0000-0000-000071640000}"/>
    <cellStyle name="Normal 7 7 8" xfId="24814" xr:uid="{00000000-0005-0000-0000-000072640000}"/>
    <cellStyle name="Normal 7 7 8 2" xfId="28076" xr:uid="{00000000-0005-0000-0000-000073640000}"/>
    <cellStyle name="Normal 7 8" xfId="1096" xr:uid="{00000000-0005-0000-0000-000074640000}"/>
    <cellStyle name="Normal 7 8 2" xfId="3966" xr:uid="{00000000-0005-0000-0000-000075640000}"/>
    <cellStyle name="Normal 7 8 2 2" xfId="5611" xr:uid="{00000000-0005-0000-0000-000076640000}"/>
    <cellStyle name="Normal 7 8 2 2 2" xfId="7074" xr:uid="{00000000-0005-0000-0000-000077640000}"/>
    <cellStyle name="Normal 7 8 2 2 2 2" xfId="22407" xr:uid="{00000000-0005-0000-0000-000078640000}"/>
    <cellStyle name="Normal 7 8 2 2 2 3" xfId="28078" xr:uid="{00000000-0005-0000-0000-000079640000}"/>
    <cellStyle name="Normal 7 8 2 2 3" xfId="22406" xr:uid="{00000000-0005-0000-0000-00007A640000}"/>
    <cellStyle name="Normal 7 8 2 2 4" xfId="28077" xr:uid="{00000000-0005-0000-0000-00007B640000}"/>
    <cellStyle name="Normal 7 8 2 3" xfId="5921" xr:uid="{00000000-0005-0000-0000-00007C640000}"/>
    <cellStyle name="Normal 7 8 2 3 2" xfId="7075" xr:uid="{00000000-0005-0000-0000-00007D640000}"/>
    <cellStyle name="Normal 7 8 2 3 2 2" xfId="22409" xr:uid="{00000000-0005-0000-0000-00007E640000}"/>
    <cellStyle name="Normal 7 8 2 3 2 3" xfId="28080" xr:uid="{00000000-0005-0000-0000-00007F640000}"/>
    <cellStyle name="Normal 7 8 2 3 3" xfId="22408" xr:uid="{00000000-0005-0000-0000-000080640000}"/>
    <cellStyle name="Normal 7 8 2 3 4" xfId="28079" xr:uid="{00000000-0005-0000-0000-000081640000}"/>
    <cellStyle name="Normal 7 8 2 4" xfId="5040" xr:uid="{00000000-0005-0000-0000-000082640000}"/>
    <cellStyle name="Normal 7 8 2 4 2" xfId="7076" xr:uid="{00000000-0005-0000-0000-000083640000}"/>
    <cellStyle name="Normal 7 8 2 4 2 2" xfId="28082" xr:uid="{00000000-0005-0000-0000-000084640000}"/>
    <cellStyle name="Normal 7 8 2 4 3" xfId="22410" xr:uid="{00000000-0005-0000-0000-000085640000}"/>
    <cellStyle name="Normal 7 8 2 4 4" xfId="28081" xr:uid="{00000000-0005-0000-0000-000086640000}"/>
    <cellStyle name="Normal 7 8 2 5" xfId="22405" xr:uid="{00000000-0005-0000-0000-000087640000}"/>
    <cellStyle name="Normal 7 8 3" xfId="5041" xr:uid="{00000000-0005-0000-0000-000088640000}"/>
    <cellStyle name="Normal 7 8 3 2" xfId="5612" xr:uid="{00000000-0005-0000-0000-000089640000}"/>
    <cellStyle name="Normal 7 8 3 2 2" xfId="7078" xr:uid="{00000000-0005-0000-0000-00008A640000}"/>
    <cellStyle name="Normal 7 8 3 2 2 2" xfId="28085" xr:uid="{00000000-0005-0000-0000-00008B640000}"/>
    <cellStyle name="Normal 7 8 3 2 3" xfId="22412" xr:uid="{00000000-0005-0000-0000-00008C640000}"/>
    <cellStyle name="Normal 7 8 3 2 4" xfId="28084" xr:uid="{00000000-0005-0000-0000-00008D640000}"/>
    <cellStyle name="Normal 7 8 3 3" xfId="5922" xr:uid="{00000000-0005-0000-0000-00008E640000}"/>
    <cellStyle name="Normal 7 8 3 3 2" xfId="7079" xr:uid="{00000000-0005-0000-0000-00008F640000}"/>
    <cellStyle name="Normal 7 8 3 3 2 2" xfId="28087" xr:uid="{00000000-0005-0000-0000-000090640000}"/>
    <cellStyle name="Normal 7 8 3 3 3" xfId="28086" xr:uid="{00000000-0005-0000-0000-000091640000}"/>
    <cellStyle name="Normal 7 8 3 4" xfId="7077" xr:uid="{00000000-0005-0000-0000-000092640000}"/>
    <cellStyle name="Normal 7 8 3 4 2" xfId="28088" xr:uid="{00000000-0005-0000-0000-000093640000}"/>
    <cellStyle name="Normal 7 8 3 5" xfId="22411" xr:uid="{00000000-0005-0000-0000-000094640000}"/>
    <cellStyle name="Normal 7 8 3 6" xfId="28083" xr:uid="{00000000-0005-0000-0000-000095640000}"/>
    <cellStyle name="Normal 7 8 4" xfId="5610" xr:uid="{00000000-0005-0000-0000-000096640000}"/>
    <cellStyle name="Normal 7 8 4 2" xfId="7080" xr:uid="{00000000-0005-0000-0000-000097640000}"/>
    <cellStyle name="Normal 7 8 4 2 2" xfId="22414" xr:uid="{00000000-0005-0000-0000-000098640000}"/>
    <cellStyle name="Normal 7 8 4 2 3" xfId="28090" xr:uid="{00000000-0005-0000-0000-000099640000}"/>
    <cellStyle name="Normal 7 8 4 3" xfId="22413" xr:uid="{00000000-0005-0000-0000-00009A640000}"/>
    <cellStyle name="Normal 7 8 4 4" xfId="28089" xr:uid="{00000000-0005-0000-0000-00009B640000}"/>
    <cellStyle name="Normal 7 8 5" xfId="5920" xr:uid="{00000000-0005-0000-0000-00009C640000}"/>
    <cellStyle name="Normal 7 8 5 2" xfId="7081" xr:uid="{00000000-0005-0000-0000-00009D640000}"/>
    <cellStyle name="Normal 7 8 5 2 2" xfId="28092" xr:uid="{00000000-0005-0000-0000-00009E640000}"/>
    <cellStyle name="Normal 7 8 5 3" xfId="22415" xr:uid="{00000000-0005-0000-0000-00009F640000}"/>
    <cellStyle name="Normal 7 8 5 4" xfId="28091" xr:uid="{00000000-0005-0000-0000-0000A0640000}"/>
    <cellStyle name="Normal 7 8 6" xfId="5039" xr:uid="{00000000-0005-0000-0000-0000A1640000}"/>
    <cellStyle name="Normal 7 8 6 2" xfId="7082" xr:uid="{00000000-0005-0000-0000-0000A2640000}"/>
    <cellStyle name="Normal 7 8 6 2 2" xfId="28094" xr:uid="{00000000-0005-0000-0000-0000A3640000}"/>
    <cellStyle name="Normal 7 8 6 3" xfId="28093" xr:uid="{00000000-0005-0000-0000-0000A4640000}"/>
    <cellStyle name="Normal 7 8 7" xfId="22404" xr:uid="{00000000-0005-0000-0000-0000A5640000}"/>
    <cellStyle name="Normal 7 9" xfId="1106" xr:uid="{00000000-0005-0000-0000-0000A6640000}"/>
    <cellStyle name="Normal 7 9 2" xfId="3976" xr:uid="{00000000-0005-0000-0000-0000A7640000}"/>
    <cellStyle name="Normal 7 9 2 2" xfId="5613" xr:uid="{00000000-0005-0000-0000-0000A8640000}"/>
    <cellStyle name="Normal 7 9 2 2 2" xfId="7083" xr:uid="{00000000-0005-0000-0000-0000A9640000}"/>
    <cellStyle name="Normal 7 9 2 2 2 2" xfId="22419" xr:uid="{00000000-0005-0000-0000-0000AA640000}"/>
    <cellStyle name="Normal 7 9 2 2 2 3" xfId="28096" xr:uid="{00000000-0005-0000-0000-0000AB640000}"/>
    <cellStyle name="Normal 7 9 2 2 3" xfId="22418" xr:uid="{00000000-0005-0000-0000-0000AC640000}"/>
    <cellStyle name="Normal 7 9 2 2 4" xfId="28095" xr:uid="{00000000-0005-0000-0000-0000AD640000}"/>
    <cellStyle name="Normal 7 9 2 3" xfId="22420" xr:uid="{00000000-0005-0000-0000-0000AE640000}"/>
    <cellStyle name="Normal 7 9 2 3 2" xfId="22421" xr:uid="{00000000-0005-0000-0000-0000AF640000}"/>
    <cellStyle name="Normal 7 9 2 4" xfId="22422" xr:uid="{00000000-0005-0000-0000-0000B0640000}"/>
    <cellStyle name="Normal 7 9 2 5" xfId="22417" xr:uid="{00000000-0005-0000-0000-0000B1640000}"/>
    <cellStyle name="Normal 7 9 3" xfId="5923" xr:uid="{00000000-0005-0000-0000-0000B2640000}"/>
    <cellStyle name="Normal 7 9 3 2" xfId="7084" xr:uid="{00000000-0005-0000-0000-0000B3640000}"/>
    <cellStyle name="Normal 7 9 3 2 2" xfId="22424" xr:uid="{00000000-0005-0000-0000-0000B4640000}"/>
    <cellStyle name="Normal 7 9 3 2 3" xfId="28098" xr:uid="{00000000-0005-0000-0000-0000B5640000}"/>
    <cellStyle name="Normal 7 9 3 3" xfId="22423" xr:uid="{00000000-0005-0000-0000-0000B6640000}"/>
    <cellStyle name="Normal 7 9 3 4" xfId="28097" xr:uid="{00000000-0005-0000-0000-0000B7640000}"/>
    <cellStyle name="Normal 7 9 4" xfId="5042" xr:uid="{00000000-0005-0000-0000-0000B8640000}"/>
    <cellStyle name="Normal 7 9 4 2" xfId="7085" xr:uid="{00000000-0005-0000-0000-0000B9640000}"/>
    <cellStyle name="Normal 7 9 4 2 2" xfId="22426" xr:uid="{00000000-0005-0000-0000-0000BA640000}"/>
    <cellStyle name="Normal 7 9 4 2 3" xfId="28100" xr:uid="{00000000-0005-0000-0000-0000BB640000}"/>
    <cellStyle name="Normal 7 9 4 3" xfId="22425" xr:uid="{00000000-0005-0000-0000-0000BC640000}"/>
    <cellStyle name="Normal 7 9 4 4" xfId="28099" xr:uid="{00000000-0005-0000-0000-0000BD640000}"/>
    <cellStyle name="Normal 7 9 5" xfId="22427" xr:uid="{00000000-0005-0000-0000-0000BE640000}"/>
    <cellStyle name="Normal 7 9 6" xfId="22416" xr:uid="{00000000-0005-0000-0000-0000BF640000}"/>
    <cellStyle name="Normal 8" xfId="907" xr:uid="{00000000-0005-0000-0000-0000C0640000}"/>
    <cellStyle name="Normal 8 10" xfId="1123" xr:uid="{00000000-0005-0000-0000-0000C1640000}"/>
    <cellStyle name="Normal 8 10 2" xfId="3993" xr:uid="{00000000-0005-0000-0000-0000C2640000}"/>
    <cellStyle name="Normal 8 11" xfId="1133" xr:uid="{00000000-0005-0000-0000-0000C3640000}"/>
    <cellStyle name="Normal 8 11 2" xfId="4003" xr:uid="{00000000-0005-0000-0000-0000C4640000}"/>
    <cellStyle name="Normal 8 12" xfId="1143" xr:uid="{00000000-0005-0000-0000-0000C5640000}"/>
    <cellStyle name="Normal 8 12 2" xfId="4013" xr:uid="{00000000-0005-0000-0000-0000C6640000}"/>
    <cellStyle name="Normal 8 13" xfId="1153" xr:uid="{00000000-0005-0000-0000-0000C7640000}"/>
    <cellStyle name="Normal 8 13 2" xfId="4023" xr:uid="{00000000-0005-0000-0000-0000C8640000}"/>
    <cellStyle name="Normal 8 14" xfId="1163" xr:uid="{00000000-0005-0000-0000-0000C9640000}"/>
    <cellStyle name="Normal 8 14 2" xfId="4033" xr:uid="{00000000-0005-0000-0000-0000CA640000}"/>
    <cellStyle name="Normal 8 15" xfId="1173" xr:uid="{00000000-0005-0000-0000-0000CB640000}"/>
    <cellStyle name="Normal 8 15 2" xfId="4043" xr:uid="{00000000-0005-0000-0000-0000CC640000}"/>
    <cellStyle name="Normal 8 16" xfId="1183" xr:uid="{00000000-0005-0000-0000-0000CD640000}"/>
    <cellStyle name="Normal 8 16 2" xfId="4053" xr:uid="{00000000-0005-0000-0000-0000CE640000}"/>
    <cellStyle name="Normal 8 17" xfId="1193" xr:uid="{00000000-0005-0000-0000-0000CF640000}"/>
    <cellStyle name="Normal 8 17 2" xfId="4063" xr:uid="{00000000-0005-0000-0000-0000D0640000}"/>
    <cellStyle name="Normal 8 18" xfId="1203" xr:uid="{00000000-0005-0000-0000-0000D1640000}"/>
    <cellStyle name="Normal 8 18 2" xfId="4073" xr:uid="{00000000-0005-0000-0000-0000D2640000}"/>
    <cellStyle name="Normal 8 19" xfId="1213" xr:uid="{00000000-0005-0000-0000-0000D3640000}"/>
    <cellStyle name="Normal 8 19 2" xfId="4083" xr:uid="{00000000-0005-0000-0000-0000D4640000}"/>
    <cellStyle name="Normal 8 2" xfId="1041" xr:uid="{00000000-0005-0000-0000-0000D5640000}"/>
    <cellStyle name="Normal 8 2 2" xfId="1447" xr:uid="{00000000-0005-0000-0000-0000D6640000}"/>
    <cellStyle name="Normal 8 2 2 2" xfId="24815" xr:uid="{00000000-0005-0000-0000-0000D7640000}"/>
    <cellStyle name="Normal 8 2 2 2 2" xfId="28101" xr:uid="{00000000-0005-0000-0000-0000D8640000}"/>
    <cellStyle name="Normal 8 2 3" xfId="3908" xr:uid="{00000000-0005-0000-0000-0000D9640000}"/>
    <cellStyle name="Normal 8 2 3 2" xfId="24816" xr:uid="{00000000-0005-0000-0000-0000DA640000}"/>
    <cellStyle name="Normal 8 2 3 2 2" xfId="28102" xr:uid="{00000000-0005-0000-0000-0000DB640000}"/>
    <cellStyle name="Normal 8 2 4" xfId="24817" xr:uid="{00000000-0005-0000-0000-0000DC640000}"/>
    <cellStyle name="Normal 8 2 4 2" xfId="28103" xr:uid="{00000000-0005-0000-0000-0000DD640000}"/>
    <cellStyle name="Normal 8 2 5" xfId="24818" xr:uid="{00000000-0005-0000-0000-0000DE640000}"/>
    <cellStyle name="Normal 8 2 6" xfId="24819" xr:uid="{00000000-0005-0000-0000-0000DF640000}"/>
    <cellStyle name="Normal 8 2 6 2" xfId="28104" xr:uid="{00000000-0005-0000-0000-0000E0640000}"/>
    <cellStyle name="Normal 8 2 7" xfId="24549" xr:uid="{00000000-0005-0000-0000-0000E1640000}"/>
    <cellStyle name="Normal 8 20" xfId="1223" xr:uid="{00000000-0005-0000-0000-0000E2640000}"/>
    <cellStyle name="Normal 8 20 2" xfId="4093" xr:uid="{00000000-0005-0000-0000-0000E3640000}"/>
    <cellStyle name="Normal 8 21" xfId="1233" xr:uid="{00000000-0005-0000-0000-0000E4640000}"/>
    <cellStyle name="Normal 8 21 2" xfId="4103" xr:uid="{00000000-0005-0000-0000-0000E5640000}"/>
    <cellStyle name="Normal 8 22" xfId="1243" xr:uid="{00000000-0005-0000-0000-0000E6640000}"/>
    <cellStyle name="Normal 8 22 2" xfId="4113" xr:uid="{00000000-0005-0000-0000-0000E7640000}"/>
    <cellStyle name="Normal 8 23" xfId="1253" xr:uid="{00000000-0005-0000-0000-0000E8640000}"/>
    <cellStyle name="Normal 8 23 2" xfId="4123" xr:uid="{00000000-0005-0000-0000-0000E9640000}"/>
    <cellStyle name="Normal 8 24" xfId="1262" xr:uid="{00000000-0005-0000-0000-0000EA640000}"/>
    <cellStyle name="Normal 8 24 2" xfId="4132" xr:uid="{00000000-0005-0000-0000-0000EB640000}"/>
    <cellStyle name="Normal 8 25" xfId="1269" xr:uid="{00000000-0005-0000-0000-0000EC640000}"/>
    <cellStyle name="Normal 8 25 2" xfId="4139" xr:uid="{00000000-0005-0000-0000-0000ED640000}"/>
    <cellStyle name="Normal 8 26" xfId="24548" xr:uid="{00000000-0005-0000-0000-0000EE640000}"/>
    <cellStyle name="Normal 8 3" xfId="1053" xr:uid="{00000000-0005-0000-0000-0000EF640000}"/>
    <cellStyle name="Normal 8 3 2" xfId="1574" xr:uid="{00000000-0005-0000-0000-0000F0640000}"/>
    <cellStyle name="Normal 8 3 3" xfId="3923" xr:uid="{00000000-0005-0000-0000-0000F1640000}"/>
    <cellStyle name="Normal 8 3 4" xfId="24820" xr:uid="{00000000-0005-0000-0000-0000F2640000}"/>
    <cellStyle name="Normal 8 3 4 2" xfId="28105" xr:uid="{00000000-0005-0000-0000-0000F3640000}"/>
    <cellStyle name="Normal 8 4" xfId="1063" xr:uid="{00000000-0005-0000-0000-0000F4640000}"/>
    <cellStyle name="Normal 8 4 2" xfId="3538" xr:uid="{00000000-0005-0000-0000-0000F5640000}"/>
    <cellStyle name="Normal 8 4 3" xfId="3933" xr:uid="{00000000-0005-0000-0000-0000F6640000}"/>
    <cellStyle name="Normal 8 4 4" xfId="24821" xr:uid="{00000000-0005-0000-0000-0000F7640000}"/>
    <cellStyle name="Normal 8 4 4 2" xfId="28106" xr:uid="{00000000-0005-0000-0000-0000F8640000}"/>
    <cellStyle name="Normal 8 5" xfId="1073" xr:uid="{00000000-0005-0000-0000-0000F9640000}"/>
    <cellStyle name="Normal 8 5 2" xfId="3943" xr:uid="{00000000-0005-0000-0000-0000FA640000}"/>
    <cellStyle name="Normal 8 5 2 2" xfId="22429" xr:uid="{00000000-0005-0000-0000-0000FB640000}"/>
    <cellStyle name="Normal 8 5 2 3" xfId="22428" xr:uid="{00000000-0005-0000-0000-0000FC640000}"/>
    <cellStyle name="Normal 8 5 3" xfId="5043" xr:uid="{00000000-0005-0000-0000-0000FD640000}"/>
    <cellStyle name="Normal 8 5 4" xfId="24822" xr:uid="{00000000-0005-0000-0000-0000FE640000}"/>
    <cellStyle name="Normal 8 5 4 2" xfId="28107" xr:uid="{00000000-0005-0000-0000-0000FF640000}"/>
    <cellStyle name="Normal 8 6" xfId="1083" xr:uid="{00000000-0005-0000-0000-000000650000}"/>
    <cellStyle name="Normal 8 6 2" xfId="3953" xr:uid="{00000000-0005-0000-0000-000001650000}"/>
    <cellStyle name="Normal 8 6 2 2" xfId="22432" xr:uid="{00000000-0005-0000-0000-000002650000}"/>
    <cellStyle name="Normal 8 6 2 2 2" xfId="22433" xr:uid="{00000000-0005-0000-0000-000003650000}"/>
    <cellStyle name="Normal 8 6 2 3" xfId="22434" xr:uid="{00000000-0005-0000-0000-000004650000}"/>
    <cellStyle name="Normal 8 6 2 3 2" xfId="22435" xr:uid="{00000000-0005-0000-0000-000005650000}"/>
    <cellStyle name="Normal 8 6 2 4" xfId="22436" xr:uid="{00000000-0005-0000-0000-000006650000}"/>
    <cellStyle name="Normal 8 6 2 5" xfId="22431" xr:uid="{00000000-0005-0000-0000-000007650000}"/>
    <cellStyle name="Normal 8 6 3" xfId="22437" xr:uid="{00000000-0005-0000-0000-000008650000}"/>
    <cellStyle name="Normal 8 6 3 2" xfId="22438" xr:uid="{00000000-0005-0000-0000-000009650000}"/>
    <cellStyle name="Normal 8 6 4" xfId="22439" xr:uid="{00000000-0005-0000-0000-00000A650000}"/>
    <cellStyle name="Normal 8 6 4 2" xfId="22440" xr:uid="{00000000-0005-0000-0000-00000B650000}"/>
    <cellStyle name="Normal 8 6 5" xfId="22441" xr:uid="{00000000-0005-0000-0000-00000C650000}"/>
    <cellStyle name="Normal 8 6 6" xfId="22430" xr:uid="{00000000-0005-0000-0000-00000D650000}"/>
    <cellStyle name="Normal 8 6 7" xfId="24823" xr:uid="{00000000-0005-0000-0000-00000E650000}"/>
    <cellStyle name="Normal 8 7" xfId="1093" xr:uid="{00000000-0005-0000-0000-00000F650000}"/>
    <cellStyle name="Normal 8 7 2" xfId="3963" xr:uid="{00000000-0005-0000-0000-000010650000}"/>
    <cellStyle name="Normal 8 7 3" xfId="24824" xr:uid="{00000000-0005-0000-0000-000011650000}"/>
    <cellStyle name="Normal 8 7 3 2" xfId="28108" xr:uid="{00000000-0005-0000-0000-000012650000}"/>
    <cellStyle name="Normal 8 8" xfId="1103" xr:uid="{00000000-0005-0000-0000-000013650000}"/>
    <cellStyle name="Normal 8 8 2" xfId="3973" xr:uid="{00000000-0005-0000-0000-000014650000}"/>
    <cellStyle name="Normal 8 9" xfId="1113" xr:uid="{00000000-0005-0000-0000-000015650000}"/>
    <cellStyle name="Normal 8 9 2" xfId="3983" xr:uid="{00000000-0005-0000-0000-000016650000}"/>
    <cellStyle name="Normal 9" xfId="908" xr:uid="{00000000-0005-0000-0000-000017650000}"/>
    <cellStyle name="Normal 9 10" xfId="1125" xr:uid="{00000000-0005-0000-0000-000018650000}"/>
    <cellStyle name="Normal 9 10 2" xfId="3995" xr:uid="{00000000-0005-0000-0000-000019650000}"/>
    <cellStyle name="Normal 9 11" xfId="1135" xr:uid="{00000000-0005-0000-0000-00001A650000}"/>
    <cellStyle name="Normal 9 11 2" xfId="4005" xr:uid="{00000000-0005-0000-0000-00001B650000}"/>
    <cellStyle name="Normal 9 12" xfId="1145" xr:uid="{00000000-0005-0000-0000-00001C650000}"/>
    <cellStyle name="Normal 9 12 2" xfId="4015" xr:uid="{00000000-0005-0000-0000-00001D650000}"/>
    <cellStyle name="Normal 9 13" xfId="1154" xr:uid="{00000000-0005-0000-0000-00001E650000}"/>
    <cellStyle name="Normal 9 13 2" xfId="4024" xr:uid="{00000000-0005-0000-0000-00001F650000}"/>
    <cellStyle name="Normal 9 14" xfId="1165" xr:uid="{00000000-0005-0000-0000-000020650000}"/>
    <cellStyle name="Normal 9 14 2" xfId="4035" xr:uid="{00000000-0005-0000-0000-000021650000}"/>
    <cellStyle name="Normal 9 15" xfId="1175" xr:uid="{00000000-0005-0000-0000-000022650000}"/>
    <cellStyle name="Normal 9 15 2" xfId="4045" xr:uid="{00000000-0005-0000-0000-000023650000}"/>
    <cellStyle name="Normal 9 16" xfId="1185" xr:uid="{00000000-0005-0000-0000-000024650000}"/>
    <cellStyle name="Normal 9 16 2" xfId="4055" xr:uid="{00000000-0005-0000-0000-000025650000}"/>
    <cellStyle name="Normal 9 17" xfId="1195" xr:uid="{00000000-0005-0000-0000-000026650000}"/>
    <cellStyle name="Normal 9 17 2" xfId="4065" xr:uid="{00000000-0005-0000-0000-000027650000}"/>
    <cellStyle name="Normal 9 18" xfId="1205" xr:uid="{00000000-0005-0000-0000-000028650000}"/>
    <cellStyle name="Normal 9 18 2" xfId="4075" xr:uid="{00000000-0005-0000-0000-000029650000}"/>
    <cellStyle name="Normal 9 19" xfId="1215" xr:uid="{00000000-0005-0000-0000-00002A650000}"/>
    <cellStyle name="Normal 9 19 2" xfId="4085" xr:uid="{00000000-0005-0000-0000-00002B650000}"/>
    <cellStyle name="Normal 9 2" xfId="1042" xr:uid="{00000000-0005-0000-0000-00002C650000}"/>
    <cellStyle name="Normal 9 2 2" xfId="1492" xr:uid="{00000000-0005-0000-0000-00002D650000}"/>
    <cellStyle name="Normal 9 2 2 2" xfId="22442" xr:uid="{00000000-0005-0000-0000-00002E650000}"/>
    <cellStyle name="Normal 9 2 3" xfId="3910" xr:uid="{00000000-0005-0000-0000-00002F650000}"/>
    <cellStyle name="Normal 9 2 4" xfId="24825" xr:uid="{00000000-0005-0000-0000-000030650000}"/>
    <cellStyle name="Normal 9 2 4 2" xfId="28109" xr:uid="{00000000-0005-0000-0000-000031650000}"/>
    <cellStyle name="Normal 9 20" xfId="1225" xr:uid="{00000000-0005-0000-0000-000032650000}"/>
    <cellStyle name="Normal 9 20 2" xfId="4095" xr:uid="{00000000-0005-0000-0000-000033650000}"/>
    <cellStyle name="Normal 9 21" xfId="1235" xr:uid="{00000000-0005-0000-0000-000034650000}"/>
    <cellStyle name="Normal 9 21 2" xfId="4105" xr:uid="{00000000-0005-0000-0000-000035650000}"/>
    <cellStyle name="Normal 9 22" xfId="1245" xr:uid="{00000000-0005-0000-0000-000036650000}"/>
    <cellStyle name="Normal 9 22 2" xfId="4115" xr:uid="{00000000-0005-0000-0000-000037650000}"/>
    <cellStyle name="Normal 9 23" xfId="1255" xr:uid="{00000000-0005-0000-0000-000038650000}"/>
    <cellStyle name="Normal 9 23 2" xfId="4125" xr:uid="{00000000-0005-0000-0000-000039650000}"/>
    <cellStyle name="Normal 9 24" xfId="1264" xr:uid="{00000000-0005-0000-0000-00003A650000}"/>
    <cellStyle name="Normal 9 24 2" xfId="4134" xr:uid="{00000000-0005-0000-0000-00003B650000}"/>
    <cellStyle name="Normal 9 25" xfId="1270" xr:uid="{00000000-0005-0000-0000-00003C650000}"/>
    <cellStyle name="Normal 9 25 2" xfId="4140" xr:uid="{00000000-0005-0000-0000-00003D650000}"/>
    <cellStyle name="Normal 9 26" xfId="24550" xr:uid="{00000000-0005-0000-0000-00003E650000}"/>
    <cellStyle name="Normal 9 26 2" xfId="28110" xr:uid="{00000000-0005-0000-0000-00003F650000}"/>
    <cellStyle name="Normal 9 3" xfId="1055" xr:uid="{00000000-0005-0000-0000-000040650000}"/>
    <cellStyle name="Normal 9 3 2" xfId="1617" xr:uid="{00000000-0005-0000-0000-000041650000}"/>
    <cellStyle name="Normal 9 3 2 2" xfId="22443" xr:uid="{00000000-0005-0000-0000-000042650000}"/>
    <cellStyle name="Normal 9 3 3" xfId="3925" xr:uid="{00000000-0005-0000-0000-000043650000}"/>
    <cellStyle name="Normal 9 3 4" xfId="24826" xr:uid="{00000000-0005-0000-0000-000044650000}"/>
    <cellStyle name="Normal 9 3 4 2" xfId="28111" xr:uid="{00000000-0005-0000-0000-000045650000}"/>
    <cellStyle name="Normal 9 4" xfId="1065" xr:uid="{00000000-0005-0000-0000-000046650000}"/>
    <cellStyle name="Normal 9 4 2" xfId="3581" xr:uid="{00000000-0005-0000-0000-000047650000}"/>
    <cellStyle name="Normal 9 4 2 2" xfId="22444" xr:uid="{00000000-0005-0000-0000-000048650000}"/>
    <cellStyle name="Normal 9 4 3" xfId="3935" xr:uid="{00000000-0005-0000-0000-000049650000}"/>
    <cellStyle name="Normal 9 4 4" xfId="24827" xr:uid="{00000000-0005-0000-0000-00004A650000}"/>
    <cellStyle name="Normal 9 4 4 2" xfId="28112" xr:uid="{00000000-0005-0000-0000-00004B650000}"/>
    <cellStyle name="Normal 9 5" xfId="1075" xr:uid="{00000000-0005-0000-0000-00004C650000}"/>
    <cellStyle name="Normal 9 5 2" xfId="3945" xr:uid="{00000000-0005-0000-0000-00004D650000}"/>
    <cellStyle name="Normal 9 5 2 2" xfId="22446" xr:uid="{00000000-0005-0000-0000-00004E650000}"/>
    <cellStyle name="Normal 9 5 2 3" xfId="22445" xr:uid="{00000000-0005-0000-0000-00004F650000}"/>
    <cellStyle name="Normal 9 5 3" xfId="5044" xr:uid="{00000000-0005-0000-0000-000050650000}"/>
    <cellStyle name="Normal 9 6" xfId="1085" xr:uid="{00000000-0005-0000-0000-000051650000}"/>
    <cellStyle name="Normal 9 6 2" xfId="3955" xr:uid="{00000000-0005-0000-0000-000052650000}"/>
    <cellStyle name="Normal 9 6 2 2" xfId="22448" xr:uid="{00000000-0005-0000-0000-000053650000}"/>
    <cellStyle name="Normal 9 6 3" xfId="22447" xr:uid="{00000000-0005-0000-0000-000054650000}"/>
    <cellStyle name="Normal 9 7" xfId="1095" xr:uid="{00000000-0005-0000-0000-000055650000}"/>
    <cellStyle name="Normal 9 7 2" xfId="3965" xr:uid="{00000000-0005-0000-0000-000056650000}"/>
    <cellStyle name="Normal 9 8" xfId="1105" xr:uid="{00000000-0005-0000-0000-000057650000}"/>
    <cellStyle name="Normal 9 8 2" xfId="3975" xr:uid="{00000000-0005-0000-0000-000058650000}"/>
    <cellStyle name="Normal 9 9" xfId="1115" xr:uid="{00000000-0005-0000-0000-000059650000}"/>
    <cellStyle name="Normal 9 9 2" xfId="3985" xr:uid="{00000000-0005-0000-0000-00005A650000}"/>
    <cellStyle name="Normal_ELTD1200" xfId="13" xr:uid="{00000000-0005-0000-0000-00005B650000}"/>
    <cellStyle name="Normal_GSUs" xfId="14" xr:uid="{00000000-0005-0000-0000-00005C650000}"/>
    <cellStyle name="Normal_Schedule 10" xfId="15" xr:uid="{00000000-0005-0000-0000-00005D650000}"/>
    <cellStyle name="Normal_Schedule 7" xfId="16" xr:uid="{00000000-0005-0000-0000-00005E650000}"/>
    <cellStyle name="Note 10" xfId="784" xr:uid="{00000000-0005-0000-0000-00005F650000}"/>
    <cellStyle name="Note 10 2" xfId="22450" xr:uid="{00000000-0005-0000-0000-000060650000}"/>
    <cellStyle name="Note 10 2 2" xfId="22451" xr:uid="{00000000-0005-0000-0000-000061650000}"/>
    <cellStyle name="Note 10 2 2 2" xfId="22452" xr:uid="{00000000-0005-0000-0000-000062650000}"/>
    <cellStyle name="Note 10 2 2 2 2" xfId="22453" xr:uid="{00000000-0005-0000-0000-000063650000}"/>
    <cellStyle name="Note 10 2 2 3" xfId="22454" xr:uid="{00000000-0005-0000-0000-000064650000}"/>
    <cellStyle name="Note 10 2 2 3 2" xfId="22455" xr:uid="{00000000-0005-0000-0000-000065650000}"/>
    <cellStyle name="Note 10 2 2 4" xfId="22456" xr:uid="{00000000-0005-0000-0000-000066650000}"/>
    <cellStyle name="Note 10 2 3" xfId="22457" xr:uid="{00000000-0005-0000-0000-000067650000}"/>
    <cellStyle name="Note 10 2 3 2" xfId="22458" xr:uid="{00000000-0005-0000-0000-000068650000}"/>
    <cellStyle name="Note 10 2 4" xfId="22459" xr:uid="{00000000-0005-0000-0000-000069650000}"/>
    <cellStyle name="Note 10 2 4 2" xfId="22460" xr:uid="{00000000-0005-0000-0000-00006A650000}"/>
    <cellStyle name="Note 10 2 5" xfId="22461" xr:uid="{00000000-0005-0000-0000-00006B650000}"/>
    <cellStyle name="Note 10 3" xfId="22462" xr:uid="{00000000-0005-0000-0000-00006C650000}"/>
    <cellStyle name="Note 10 4" xfId="22449" xr:uid="{00000000-0005-0000-0000-00006D650000}"/>
    <cellStyle name="Note 11" xfId="785" xr:uid="{00000000-0005-0000-0000-00006E650000}"/>
    <cellStyle name="Note 11 2" xfId="22464" xr:uid="{00000000-0005-0000-0000-00006F650000}"/>
    <cellStyle name="Note 11 2 2" xfId="22465" xr:uid="{00000000-0005-0000-0000-000070650000}"/>
    <cellStyle name="Note 11 3" xfId="22466" xr:uid="{00000000-0005-0000-0000-000071650000}"/>
    <cellStyle name="Note 11 4" xfId="22463" xr:uid="{00000000-0005-0000-0000-000072650000}"/>
    <cellStyle name="Note 12" xfId="909" xr:uid="{00000000-0005-0000-0000-000073650000}"/>
    <cellStyle name="Note 12 2" xfId="22468" xr:uid="{00000000-0005-0000-0000-000074650000}"/>
    <cellStyle name="Note 12 2 2" xfId="22469" xr:uid="{00000000-0005-0000-0000-000075650000}"/>
    <cellStyle name="Note 12 2 2 2" xfId="22470" xr:uid="{00000000-0005-0000-0000-000076650000}"/>
    <cellStyle name="Note 12 2 3" xfId="22471" xr:uid="{00000000-0005-0000-0000-000077650000}"/>
    <cellStyle name="Note 12 2 3 2" xfId="22472" xr:uid="{00000000-0005-0000-0000-000078650000}"/>
    <cellStyle name="Note 12 2 4" xfId="22473" xr:uid="{00000000-0005-0000-0000-000079650000}"/>
    <cellStyle name="Note 12 3" xfId="22474" xr:uid="{00000000-0005-0000-0000-00007A650000}"/>
    <cellStyle name="Note 12 3 2" xfId="22475" xr:uid="{00000000-0005-0000-0000-00007B650000}"/>
    <cellStyle name="Note 12 4" xfId="22476" xr:uid="{00000000-0005-0000-0000-00007C650000}"/>
    <cellStyle name="Note 12 4 2" xfId="22477" xr:uid="{00000000-0005-0000-0000-00007D650000}"/>
    <cellStyle name="Note 12 5" xfId="22478" xr:uid="{00000000-0005-0000-0000-00007E650000}"/>
    <cellStyle name="Note 12 6" xfId="22467" xr:uid="{00000000-0005-0000-0000-00007F650000}"/>
    <cellStyle name="Note 13" xfId="910" xr:uid="{00000000-0005-0000-0000-000080650000}"/>
    <cellStyle name="Note 13 2" xfId="3857" xr:uid="{00000000-0005-0000-0000-000081650000}"/>
    <cellStyle name="Note 13 2 2" xfId="7087" xr:uid="{00000000-0005-0000-0000-000082650000}"/>
    <cellStyle name="Note 13 2 2 2" xfId="22482" xr:uid="{00000000-0005-0000-0000-000083650000}"/>
    <cellStyle name="Note 13 2 2 3" xfId="22481" xr:uid="{00000000-0005-0000-0000-000084650000}"/>
    <cellStyle name="Note 13 2 2 4" xfId="28115" xr:uid="{00000000-0005-0000-0000-000085650000}"/>
    <cellStyle name="Note 13 2 3" xfId="22483" xr:uid="{00000000-0005-0000-0000-000086650000}"/>
    <cellStyle name="Note 13 2 3 2" xfId="22484" xr:uid="{00000000-0005-0000-0000-000087650000}"/>
    <cellStyle name="Note 13 2 4" xfId="22485" xr:uid="{00000000-0005-0000-0000-000088650000}"/>
    <cellStyle name="Note 13 2 5" xfId="22480" xr:uid="{00000000-0005-0000-0000-000089650000}"/>
    <cellStyle name="Note 13 2 6" xfId="24993" xr:uid="{00000000-0005-0000-0000-00008A650000}"/>
    <cellStyle name="Note 13 2 7" xfId="28114" xr:uid="{00000000-0005-0000-0000-00008B650000}"/>
    <cellStyle name="Note 13 3" xfId="7086" xr:uid="{00000000-0005-0000-0000-00008C650000}"/>
    <cellStyle name="Note 13 3 2" xfId="22487" xr:uid="{00000000-0005-0000-0000-00008D650000}"/>
    <cellStyle name="Note 13 3 3" xfId="22486" xr:uid="{00000000-0005-0000-0000-00008E650000}"/>
    <cellStyle name="Note 13 3 4" xfId="28116" xr:uid="{00000000-0005-0000-0000-00008F650000}"/>
    <cellStyle name="Note 13 4" xfId="22488" xr:uid="{00000000-0005-0000-0000-000090650000}"/>
    <cellStyle name="Note 13 4 2" xfId="22489" xr:uid="{00000000-0005-0000-0000-000091650000}"/>
    <cellStyle name="Note 13 5" xfId="22490" xr:uid="{00000000-0005-0000-0000-000092650000}"/>
    <cellStyle name="Note 13 6" xfId="22479" xr:uid="{00000000-0005-0000-0000-000093650000}"/>
    <cellStyle name="Note 13 7" xfId="24872" xr:uid="{00000000-0005-0000-0000-000094650000}"/>
    <cellStyle name="Note 13 8" xfId="28113" xr:uid="{00000000-0005-0000-0000-000095650000}"/>
    <cellStyle name="Note 14" xfId="994" xr:uid="{00000000-0005-0000-0000-000096650000}"/>
    <cellStyle name="Note 2" xfId="105" xr:uid="{00000000-0005-0000-0000-000097650000}"/>
    <cellStyle name="Note 2 10" xfId="3530" xr:uid="{00000000-0005-0000-0000-000098650000}"/>
    <cellStyle name="Note 2 10 2" xfId="22493" xr:uid="{00000000-0005-0000-0000-000099650000}"/>
    <cellStyle name="Note 2 10 2 2" xfId="22494" xr:uid="{00000000-0005-0000-0000-00009A650000}"/>
    <cellStyle name="Note 2 10 3" xfId="22495" xr:uid="{00000000-0005-0000-0000-00009B650000}"/>
    <cellStyle name="Note 2 10 3 2" xfId="22496" xr:uid="{00000000-0005-0000-0000-00009C650000}"/>
    <cellStyle name="Note 2 10 4" xfId="22497" xr:uid="{00000000-0005-0000-0000-00009D650000}"/>
    <cellStyle name="Note 2 10 4 2" xfId="22498" xr:uid="{00000000-0005-0000-0000-00009E650000}"/>
    <cellStyle name="Note 2 10 5" xfId="22499" xr:uid="{00000000-0005-0000-0000-00009F650000}"/>
    <cellStyle name="Note 2 10 6" xfId="22492" xr:uid="{00000000-0005-0000-0000-0000A0650000}"/>
    <cellStyle name="Note 2 11" xfId="22500" xr:uid="{00000000-0005-0000-0000-0000A1650000}"/>
    <cellStyle name="Note 2 11 2" xfId="22501" xr:uid="{00000000-0005-0000-0000-0000A2650000}"/>
    <cellStyle name="Note 2 11 2 2" xfId="22502" xr:uid="{00000000-0005-0000-0000-0000A3650000}"/>
    <cellStyle name="Note 2 11 3" xfId="22503" xr:uid="{00000000-0005-0000-0000-0000A4650000}"/>
    <cellStyle name="Note 2 11 3 2" xfId="22504" xr:uid="{00000000-0005-0000-0000-0000A5650000}"/>
    <cellStyle name="Note 2 11 4" xfId="22505" xr:uid="{00000000-0005-0000-0000-0000A6650000}"/>
    <cellStyle name="Note 2 12" xfId="22506" xr:uid="{00000000-0005-0000-0000-0000A7650000}"/>
    <cellStyle name="Note 2 12 2" xfId="22507" xr:uid="{00000000-0005-0000-0000-0000A8650000}"/>
    <cellStyle name="Note 2 12 2 2" xfId="22508" xr:uid="{00000000-0005-0000-0000-0000A9650000}"/>
    <cellStyle name="Note 2 12 3" xfId="22509" xr:uid="{00000000-0005-0000-0000-0000AA650000}"/>
    <cellStyle name="Note 2 12 3 2" xfId="22510" xr:uid="{00000000-0005-0000-0000-0000AB650000}"/>
    <cellStyle name="Note 2 12 4" xfId="22511" xr:uid="{00000000-0005-0000-0000-0000AC650000}"/>
    <cellStyle name="Note 2 13" xfId="22512" xr:uid="{00000000-0005-0000-0000-0000AD650000}"/>
    <cellStyle name="Note 2 13 2" xfId="22513" xr:uid="{00000000-0005-0000-0000-0000AE650000}"/>
    <cellStyle name="Note 2 13 2 2" xfId="22514" xr:uid="{00000000-0005-0000-0000-0000AF650000}"/>
    <cellStyle name="Note 2 13 3" xfId="22515" xr:uid="{00000000-0005-0000-0000-0000B0650000}"/>
    <cellStyle name="Note 2 13 3 2" xfId="22516" xr:uid="{00000000-0005-0000-0000-0000B1650000}"/>
    <cellStyle name="Note 2 13 4" xfId="22517" xr:uid="{00000000-0005-0000-0000-0000B2650000}"/>
    <cellStyle name="Note 2 14" xfId="22518" xr:uid="{00000000-0005-0000-0000-0000B3650000}"/>
    <cellStyle name="Note 2 14 2" xfId="22519" xr:uid="{00000000-0005-0000-0000-0000B4650000}"/>
    <cellStyle name="Note 2 14 2 2" xfId="22520" xr:uid="{00000000-0005-0000-0000-0000B5650000}"/>
    <cellStyle name="Note 2 14 3" xfId="22521" xr:uid="{00000000-0005-0000-0000-0000B6650000}"/>
    <cellStyle name="Note 2 14 3 2" xfId="22522" xr:uid="{00000000-0005-0000-0000-0000B7650000}"/>
    <cellStyle name="Note 2 14 4" xfId="22523" xr:uid="{00000000-0005-0000-0000-0000B8650000}"/>
    <cellStyle name="Note 2 15" xfId="22524" xr:uid="{00000000-0005-0000-0000-0000B9650000}"/>
    <cellStyle name="Note 2 15 2" xfId="22525" xr:uid="{00000000-0005-0000-0000-0000BA650000}"/>
    <cellStyle name="Note 2 16" xfId="22526" xr:uid="{00000000-0005-0000-0000-0000BB650000}"/>
    <cellStyle name="Note 2 16 2" xfId="22527" xr:uid="{00000000-0005-0000-0000-0000BC650000}"/>
    <cellStyle name="Note 2 17" xfId="22528" xr:uid="{00000000-0005-0000-0000-0000BD650000}"/>
    <cellStyle name="Note 2 17 2" xfId="22529" xr:uid="{00000000-0005-0000-0000-0000BE650000}"/>
    <cellStyle name="Note 2 17 2 2" xfId="22530" xr:uid="{00000000-0005-0000-0000-0000BF650000}"/>
    <cellStyle name="Note 2 17 2 2 2" xfId="22531" xr:uid="{00000000-0005-0000-0000-0000C0650000}"/>
    <cellStyle name="Note 2 17 2 3" xfId="22532" xr:uid="{00000000-0005-0000-0000-0000C1650000}"/>
    <cellStyle name="Note 2 17 2 3 2" xfId="22533" xr:uid="{00000000-0005-0000-0000-0000C2650000}"/>
    <cellStyle name="Note 2 17 2 4" xfId="22534" xr:uid="{00000000-0005-0000-0000-0000C3650000}"/>
    <cellStyle name="Note 2 17 3" xfId="22535" xr:uid="{00000000-0005-0000-0000-0000C4650000}"/>
    <cellStyle name="Note 2 17 3 2" xfId="22536" xr:uid="{00000000-0005-0000-0000-0000C5650000}"/>
    <cellStyle name="Note 2 17 4" xfId="22537" xr:uid="{00000000-0005-0000-0000-0000C6650000}"/>
    <cellStyle name="Note 2 17 4 2" xfId="22538" xr:uid="{00000000-0005-0000-0000-0000C7650000}"/>
    <cellStyle name="Note 2 17 5" xfId="22539" xr:uid="{00000000-0005-0000-0000-0000C8650000}"/>
    <cellStyle name="Note 2 18" xfId="22540" xr:uid="{00000000-0005-0000-0000-0000C9650000}"/>
    <cellStyle name="Note 2 18 2" xfId="22541" xr:uid="{00000000-0005-0000-0000-0000CA650000}"/>
    <cellStyle name="Note 2 19" xfId="22542" xr:uid="{00000000-0005-0000-0000-0000CB650000}"/>
    <cellStyle name="Note 2 19 2" xfId="22543" xr:uid="{00000000-0005-0000-0000-0000CC650000}"/>
    <cellStyle name="Note 2 19 2 2" xfId="22544" xr:uid="{00000000-0005-0000-0000-0000CD650000}"/>
    <cellStyle name="Note 2 19 2 2 2" xfId="22545" xr:uid="{00000000-0005-0000-0000-0000CE650000}"/>
    <cellStyle name="Note 2 19 2 3" xfId="22546" xr:uid="{00000000-0005-0000-0000-0000CF650000}"/>
    <cellStyle name="Note 2 19 2 3 2" xfId="22547" xr:uid="{00000000-0005-0000-0000-0000D0650000}"/>
    <cellStyle name="Note 2 19 2 4" xfId="22548" xr:uid="{00000000-0005-0000-0000-0000D1650000}"/>
    <cellStyle name="Note 2 19 3" xfId="22549" xr:uid="{00000000-0005-0000-0000-0000D2650000}"/>
    <cellStyle name="Note 2 19 3 2" xfId="22550" xr:uid="{00000000-0005-0000-0000-0000D3650000}"/>
    <cellStyle name="Note 2 19 4" xfId="22551" xr:uid="{00000000-0005-0000-0000-0000D4650000}"/>
    <cellStyle name="Note 2 19 4 2" xfId="22552" xr:uid="{00000000-0005-0000-0000-0000D5650000}"/>
    <cellStyle name="Note 2 19 5" xfId="22553" xr:uid="{00000000-0005-0000-0000-0000D6650000}"/>
    <cellStyle name="Note 2 2" xfId="167" xr:uid="{00000000-0005-0000-0000-0000D7650000}"/>
    <cellStyle name="Note 2 2 10" xfId="22555" xr:uid="{00000000-0005-0000-0000-0000D8650000}"/>
    <cellStyle name="Note 2 2 10 2" xfId="22556" xr:uid="{00000000-0005-0000-0000-0000D9650000}"/>
    <cellStyle name="Note 2 2 10 2 2" xfId="22557" xr:uid="{00000000-0005-0000-0000-0000DA650000}"/>
    <cellStyle name="Note 2 2 10 3" xfId="22558" xr:uid="{00000000-0005-0000-0000-0000DB650000}"/>
    <cellStyle name="Note 2 2 10 3 2" xfId="22559" xr:uid="{00000000-0005-0000-0000-0000DC650000}"/>
    <cellStyle name="Note 2 2 10 4" xfId="22560" xr:uid="{00000000-0005-0000-0000-0000DD650000}"/>
    <cellStyle name="Note 2 2 11" xfId="22561" xr:uid="{00000000-0005-0000-0000-0000DE650000}"/>
    <cellStyle name="Note 2 2 11 2" xfId="22562" xr:uid="{00000000-0005-0000-0000-0000DF650000}"/>
    <cellStyle name="Note 2 2 11 2 2" xfId="22563" xr:uid="{00000000-0005-0000-0000-0000E0650000}"/>
    <cellStyle name="Note 2 2 11 3" xfId="22564" xr:uid="{00000000-0005-0000-0000-0000E1650000}"/>
    <cellStyle name="Note 2 2 11 3 2" xfId="22565" xr:uid="{00000000-0005-0000-0000-0000E2650000}"/>
    <cellStyle name="Note 2 2 11 4" xfId="22566" xr:uid="{00000000-0005-0000-0000-0000E3650000}"/>
    <cellStyle name="Note 2 2 12" xfId="22567" xr:uid="{00000000-0005-0000-0000-0000E4650000}"/>
    <cellStyle name="Note 2 2 12 2" xfId="22568" xr:uid="{00000000-0005-0000-0000-0000E5650000}"/>
    <cellStyle name="Note 2 2 12 2 2" xfId="22569" xr:uid="{00000000-0005-0000-0000-0000E6650000}"/>
    <cellStyle name="Note 2 2 12 3" xfId="22570" xr:uid="{00000000-0005-0000-0000-0000E7650000}"/>
    <cellStyle name="Note 2 2 12 3 2" xfId="22571" xr:uid="{00000000-0005-0000-0000-0000E8650000}"/>
    <cellStyle name="Note 2 2 12 4" xfId="22572" xr:uid="{00000000-0005-0000-0000-0000E9650000}"/>
    <cellStyle name="Note 2 2 13" xfId="22573" xr:uid="{00000000-0005-0000-0000-0000EA650000}"/>
    <cellStyle name="Note 2 2 13 2" xfId="22574" xr:uid="{00000000-0005-0000-0000-0000EB650000}"/>
    <cellStyle name="Note 2 2 14" xfId="22575" xr:uid="{00000000-0005-0000-0000-0000EC650000}"/>
    <cellStyle name="Note 2 2 14 2" xfId="22576" xr:uid="{00000000-0005-0000-0000-0000ED650000}"/>
    <cellStyle name="Note 2 2 15" xfId="22577" xr:uid="{00000000-0005-0000-0000-0000EE650000}"/>
    <cellStyle name="Note 2 2 15 2" xfId="22578" xr:uid="{00000000-0005-0000-0000-0000EF650000}"/>
    <cellStyle name="Note 2 2 16" xfId="22579" xr:uid="{00000000-0005-0000-0000-0000F0650000}"/>
    <cellStyle name="Note 2 2 17" xfId="22554" xr:uid="{00000000-0005-0000-0000-0000F1650000}"/>
    <cellStyle name="Note 2 2 18" xfId="24551" xr:uid="{00000000-0005-0000-0000-0000F2650000}"/>
    <cellStyle name="Note 2 2 2" xfId="5046" xr:uid="{00000000-0005-0000-0000-0000F3650000}"/>
    <cellStyle name="Note 2 2 2 2" xfId="22581" xr:uid="{00000000-0005-0000-0000-0000F4650000}"/>
    <cellStyle name="Note 2 2 2 2 2" xfId="22582" xr:uid="{00000000-0005-0000-0000-0000F5650000}"/>
    <cellStyle name="Note 2 2 2 3" xfId="22583" xr:uid="{00000000-0005-0000-0000-0000F6650000}"/>
    <cellStyle name="Note 2 2 2 3 2" xfId="22584" xr:uid="{00000000-0005-0000-0000-0000F7650000}"/>
    <cellStyle name="Note 2 2 2 4" xfId="22585" xr:uid="{00000000-0005-0000-0000-0000F8650000}"/>
    <cellStyle name="Note 2 2 2 5" xfId="22580" xr:uid="{00000000-0005-0000-0000-0000F9650000}"/>
    <cellStyle name="Note 2 2 2 6" xfId="24552" xr:uid="{00000000-0005-0000-0000-0000FA650000}"/>
    <cellStyle name="Note 2 2 3" xfId="5045" xr:uid="{00000000-0005-0000-0000-0000FB650000}"/>
    <cellStyle name="Note 2 2 3 2" xfId="22587" xr:uid="{00000000-0005-0000-0000-0000FC650000}"/>
    <cellStyle name="Note 2 2 3 2 2" xfId="22588" xr:uid="{00000000-0005-0000-0000-0000FD650000}"/>
    <cellStyle name="Note 2 2 3 3" xfId="22589" xr:uid="{00000000-0005-0000-0000-0000FE650000}"/>
    <cellStyle name="Note 2 2 3 3 2" xfId="22590" xr:uid="{00000000-0005-0000-0000-0000FF650000}"/>
    <cellStyle name="Note 2 2 3 4" xfId="22591" xr:uid="{00000000-0005-0000-0000-000000660000}"/>
    <cellStyle name="Note 2 2 3 5" xfId="22586" xr:uid="{00000000-0005-0000-0000-000001660000}"/>
    <cellStyle name="Note 2 2 4" xfId="22592" xr:uid="{00000000-0005-0000-0000-000002660000}"/>
    <cellStyle name="Note 2 2 4 2" xfId="22593" xr:uid="{00000000-0005-0000-0000-000003660000}"/>
    <cellStyle name="Note 2 2 4 2 2" xfId="22594" xr:uid="{00000000-0005-0000-0000-000004660000}"/>
    <cellStyle name="Note 2 2 4 3" xfId="22595" xr:uid="{00000000-0005-0000-0000-000005660000}"/>
    <cellStyle name="Note 2 2 4 3 2" xfId="22596" xr:uid="{00000000-0005-0000-0000-000006660000}"/>
    <cellStyle name="Note 2 2 4 4" xfId="22597" xr:uid="{00000000-0005-0000-0000-000007660000}"/>
    <cellStyle name="Note 2 2 5" xfId="22598" xr:uid="{00000000-0005-0000-0000-000008660000}"/>
    <cellStyle name="Note 2 2 5 2" xfId="22599" xr:uid="{00000000-0005-0000-0000-000009660000}"/>
    <cellStyle name="Note 2 2 5 2 2" xfId="22600" xr:uid="{00000000-0005-0000-0000-00000A660000}"/>
    <cellStyle name="Note 2 2 5 3" xfId="22601" xr:uid="{00000000-0005-0000-0000-00000B660000}"/>
    <cellStyle name="Note 2 2 5 3 2" xfId="22602" xr:uid="{00000000-0005-0000-0000-00000C660000}"/>
    <cellStyle name="Note 2 2 5 4" xfId="22603" xr:uid="{00000000-0005-0000-0000-00000D660000}"/>
    <cellStyle name="Note 2 2 6" xfId="22604" xr:uid="{00000000-0005-0000-0000-00000E660000}"/>
    <cellStyle name="Note 2 2 6 2" xfId="22605" xr:uid="{00000000-0005-0000-0000-00000F660000}"/>
    <cellStyle name="Note 2 2 6 2 2" xfId="22606" xr:uid="{00000000-0005-0000-0000-000010660000}"/>
    <cellStyle name="Note 2 2 6 3" xfId="22607" xr:uid="{00000000-0005-0000-0000-000011660000}"/>
    <cellStyle name="Note 2 2 6 3 2" xfId="22608" xr:uid="{00000000-0005-0000-0000-000012660000}"/>
    <cellStyle name="Note 2 2 6 4" xfId="22609" xr:uid="{00000000-0005-0000-0000-000013660000}"/>
    <cellStyle name="Note 2 2 7" xfId="22610" xr:uid="{00000000-0005-0000-0000-000014660000}"/>
    <cellStyle name="Note 2 2 7 2" xfId="22611" xr:uid="{00000000-0005-0000-0000-000015660000}"/>
    <cellStyle name="Note 2 2 7 2 2" xfId="22612" xr:uid="{00000000-0005-0000-0000-000016660000}"/>
    <cellStyle name="Note 2 2 7 3" xfId="22613" xr:uid="{00000000-0005-0000-0000-000017660000}"/>
    <cellStyle name="Note 2 2 7 3 2" xfId="22614" xr:uid="{00000000-0005-0000-0000-000018660000}"/>
    <cellStyle name="Note 2 2 7 4" xfId="22615" xr:uid="{00000000-0005-0000-0000-000019660000}"/>
    <cellStyle name="Note 2 2 8" xfId="22616" xr:uid="{00000000-0005-0000-0000-00001A660000}"/>
    <cellStyle name="Note 2 2 8 2" xfId="22617" xr:uid="{00000000-0005-0000-0000-00001B660000}"/>
    <cellStyle name="Note 2 2 8 2 2" xfId="22618" xr:uid="{00000000-0005-0000-0000-00001C660000}"/>
    <cellStyle name="Note 2 2 8 3" xfId="22619" xr:uid="{00000000-0005-0000-0000-00001D660000}"/>
    <cellStyle name="Note 2 2 8 3 2" xfId="22620" xr:uid="{00000000-0005-0000-0000-00001E660000}"/>
    <cellStyle name="Note 2 2 8 4" xfId="22621" xr:uid="{00000000-0005-0000-0000-00001F660000}"/>
    <cellStyle name="Note 2 2 9" xfId="22622" xr:uid="{00000000-0005-0000-0000-000020660000}"/>
    <cellStyle name="Note 2 2 9 2" xfId="22623" xr:uid="{00000000-0005-0000-0000-000021660000}"/>
    <cellStyle name="Note 2 2 9 2 2" xfId="22624" xr:uid="{00000000-0005-0000-0000-000022660000}"/>
    <cellStyle name="Note 2 2 9 3" xfId="22625" xr:uid="{00000000-0005-0000-0000-000023660000}"/>
    <cellStyle name="Note 2 2 9 3 2" xfId="22626" xr:uid="{00000000-0005-0000-0000-000024660000}"/>
    <cellStyle name="Note 2 2 9 4" xfId="22627" xr:uid="{00000000-0005-0000-0000-000025660000}"/>
    <cellStyle name="Note 2 20" xfId="22628" xr:uid="{00000000-0005-0000-0000-000026660000}"/>
    <cellStyle name="Note 2 21" xfId="22491" xr:uid="{00000000-0005-0000-0000-000027660000}"/>
    <cellStyle name="Note 2 3" xfId="331" xr:uid="{00000000-0005-0000-0000-000028660000}"/>
    <cellStyle name="Note 2 3 2" xfId="1878" xr:uid="{00000000-0005-0000-0000-000029660000}"/>
    <cellStyle name="Note 2 3 2 2" xfId="5048" xr:uid="{00000000-0005-0000-0000-00002A660000}"/>
    <cellStyle name="Note 2 3 2 2 2" xfId="22632" xr:uid="{00000000-0005-0000-0000-00002B660000}"/>
    <cellStyle name="Note 2 3 2 2 3" xfId="22631" xr:uid="{00000000-0005-0000-0000-00002C660000}"/>
    <cellStyle name="Note 2 3 2 3" xfId="5047" xr:uid="{00000000-0005-0000-0000-00002D660000}"/>
    <cellStyle name="Note 2 3 2 3 2" xfId="22634" xr:uid="{00000000-0005-0000-0000-00002E660000}"/>
    <cellStyle name="Note 2 3 2 3 3" xfId="22633" xr:uid="{00000000-0005-0000-0000-00002F660000}"/>
    <cellStyle name="Note 2 3 2 4" xfId="22635" xr:uid="{00000000-0005-0000-0000-000030660000}"/>
    <cellStyle name="Note 2 3 2 4 2" xfId="22636" xr:uid="{00000000-0005-0000-0000-000031660000}"/>
    <cellStyle name="Note 2 3 2 5" xfId="22637" xr:uid="{00000000-0005-0000-0000-000032660000}"/>
    <cellStyle name="Note 2 3 2 6" xfId="22630" xr:uid="{00000000-0005-0000-0000-000033660000}"/>
    <cellStyle name="Note 2 3 2 7" xfId="24553" xr:uid="{00000000-0005-0000-0000-000034660000}"/>
    <cellStyle name="Note 2 3 3" xfId="2253" xr:uid="{00000000-0005-0000-0000-000035660000}"/>
    <cellStyle name="Note 2 3 3 2" xfId="5050" xr:uid="{00000000-0005-0000-0000-000036660000}"/>
    <cellStyle name="Note 2 3 3 2 2" xfId="22640" xr:uid="{00000000-0005-0000-0000-000037660000}"/>
    <cellStyle name="Note 2 3 3 2 3" xfId="22639" xr:uid="{00000000-0005-0000-0000-000038660000}"/>
    <cellStyle name="Note 2 3 3 3" xfId="5049" xr:uid="{00000000-0005-0000-0000-000039660000}"/>
    <cellStyle name="Note 2 3 3 3 2" xfId="22641" xr:uid="{00000000-0005-0000-0000-00003A660000}"/>
    <cellStyle name="Note 2 3 3 4" xfId="22638" xr:uid="{00000000-0005-0000-0000-00003B660000}"/>
    <cellStyle name="Note 2 3 4" xfId="2626" xr:uid="{00000000-0005-0000-0000-00003C660000}"/>
    <cellStyle name="Note 2 3 4 2" xfId="5052" xr:uid="{00000000-0005-0000-0000-00003D660000}"/>
    <cellStyle name="Note 2 3 4 2 2" xfId="22644" xr:uid="{00000000-0005-0000-0000-00003E660000}"/>
    <cellStyle name="Note 2 3 4 2 3" xfId="22643" xr:uid="{00000000-0005-0000-0000-00003F660000}"/>
    <cellStyle name="Note 2 3 4 3" xfId="5051" xr:uid="{00000000-0005-0000-0000-000040660000}"/>
    <cellStyle name="Note 2 3 4 3 2" xfId="22645" xr:uid="{00000000-0005-0000-0000-000041660000}"/>
    <cellStyle name="Note 2 3 4 4" xfId="22642" xr:uid="{00000000-0005-0000-0000-000042660000}"/>
    <cellStyle name="Note 2 3 5" xfId="2999" xr:uid="{00000000-0005-0000-0000-000043660000}"/>
    <cellStyle name="Note 2 3 5 2" xfId="5054" xr:uid="{00000000-0005-0000-0000-000044660000}"/>
    <cellStyle name="Note 2 3 5 2 2" xfId="22648" xr:uid="{00000000-0005-0000-0000-000045660000}"/>
    <cellStyle name="Note 2 3 5 2 3" xfId="22647" xr:uid="{00000000-0005-0000-0000-000046660000}"/>
    <cellStyle name="Note 2 3 5 3" xfId="5053" xr:uid="{00000000-0005-0000-0000-000047660000}"/>
    <cellStyle name="Note 2 3 5 3 2" xfId="22649" xr:uid="{00000000-0005-0000-0000-000048660000}"/>
    <cellStyle name="Note 2 3 5 4" xfId="22646" xr:uid="{00000000-0005-0000-0000-000049660000}"/>
    <cellStyle name="Note 2 3 6" xfId="3370" xr:uid="{00000000-0005-0000-0000-00004A660000}"/>
    <cellStyle name="Note 2 3 6 2" xfId="5056" xr:uid="{00000000-0005-0000-0000-00004B660000}"/>
    <cellStyle name="Note 2 3 6 2 2" xfId="22652" xr:uid="{00000000-0005-0000-0000-00004C660000}"/>
    <cellStyle name="Note 2 3 6 2 3" xfId="22651" xr:uid="{00000000-0005-0000-0000-00004D660000}"/>
    <cellStyle name="Note 2 3 6 3" xfId="5055" xr:uid="{00000000-0005-0000-0000-00004E660000}"/>
    <cellStyle name="Note 2 3 6 3 2" xfId="22653" xr:uid="{00000000-0005-0000-0000-00004F660000}"/>
    <cellStyle name="Note 2 3 6 4" xfId="22650" xr:uid="{00000000-0005-0000-0000-000050660000}"/>
    <cellStyle name="Note 2 3 7" xfId="1432" xr:uid="{00000000-0005-0000-0000-000051660000}"/>
    <cellStyle name="Note 2 3 7 2" xfId="22654" xr:uid="{00000000-0005-0000-0000-000052660000}"/>
    <cellStyle name="Note 2 3 8" xfId="22629" xr:uid="{00000000-0005-0000-0000-000053660000}"/>
    <cellStyle name="Note 2 4" xfId="1545" xr:uid="{00000000-0005-0000-0000-000054660000}"/>
    <cellStyle name="Note 2 4 2" xfId="1925" xr:uid="{00000000-0005-0000-0000-000055660000}"/>
    <cellStyle name="Note 2 4 2 2" xfId="5058" xr:uid="{00000000-0005-0000-0000-000056660000}"/>
    <cellStyle name="Note 2 4 2 2 2" xfId="22658" xr:uid="{00000000-0005-0000-0000-000057660000}"/>
    <cellStyle name="Note 2 4 2 2 3" xfId="22657" xr:uid="{00000000-0005-0000-0000-000058660000}"/>
    <cellStyle name="Note 2 4 2 3" xfId="5057" xr:uid="{00000000-0005-0000-0000-000059660000}"/>
    <cellStyle name="Note 2 4 2 3 2" xfId="22660" xr:uid="{00000000-0005-0000-0000-00005A660000}"/>
    <cellStyle name="Note 2 4 2 3 3" xfId="22659" xr:uid="{00000000-0005-0000-0000-00005B660000}"/>
    <cellStyle name="Note 2 4 2 4" xfId="22661" xr:uid="{00000000-0005-0000-0000-00005C660000}"/>
    <cellStyle name="Note 2 4 2 4 2" xfId="22662" xr:uid="{00000000-0005-0000-0000-00005D660000}"/>
    <cellStyle name="Note 2 4 2 5" xfId="22663" xr:uid="{00000000-0005-0000-0000-00005E660000}"/>
    <cellStyle name="Note 2 4 2 6" xfId="22656" xr:uid="{00000000-0005-0000-0000-00005F660000}"/>
    <cellStyle name="Note 2 4 3" xfId="2300" xr:uid="{00000000-0005-0000-0000-000060660000}"/>
    <cellStyle name="Note 2 4 3 2" xfId="5060" xr:uid="{00000000-0005-0000-0000-000061660000}"/>
    <cellStyle name="Note 2 4 3 2 2" xfId="22666" xr:uid="{00000000-0005-0000-0000-000062660000}"/>
    <cellStyle name="Note 2 4 3 2 3" xfId="22665" xr:uid="{00000000-0005-0000-0000-000063660000}"/>
    <cellStyle name="Note 2 4 3 3" xfId="5059" xr:uid="{00000000-0005-0000-0000-000064660000}"/>
    <cellStyle name="Note 2 4 3 3 2" xfId="22667" xr:uid="{00000000-0005-0000-0000-000065660000}"/>
    <cellStyle name="Note 2 4 3 4" xfId="22664" xr:uid="{00000000-0005-0000-0000-000066660000}"/>
    <cellStyle name="Note 2 4 4" xfId="2673" xr:uid="{00000000-0005-0000-0000-000067660000}"/>
    <cellStyle name="Note 2 4 4 2" xfId="5062" xr:uid="{00000000-0005-0000-0000-000068660000}"/>
    <cellStyle name="Note 2 4 4 2 2" xfId="22670" xr:uid="{00000000-0005-0000-0000-000069660000}"/>
    <cellStyle name="Note 2 4 4 2 3" xfId="22669" xr:uid="{00000000-0005-0000-0000-00006A660000}"/>
    <cellStyle name="Note 2 4 4 3" xfId="5061" xr:uid="{00000000-0005-0000-0000-00006B660000}"/>
    <cellStyle name="Note 2 4 4 3 2" xfId="22671" xr:uid="{00000000-0005-0000-0000-00006C660000}"/>
    <cellStyle name="Note 2 4 4 4" xfId="22668" xr:uid="{00000000-0005-0000-0000-00006D660000}"/>
    <cellStyle name="Note 2 4 5" xfId="3046" xr:uid="{00000000-0005-0000-0000-00006E660000}"/>
    <cellStyle name="Note 2 4 5 2" xfId="5064" xr:uid="{00000000-0005-0000-0000-00006F660000}"/>
    <cellStyle name="Note 2 4 5 2 2" xfId="22674" xr:uid="{00000000-0005-0000-0000-000070660000}"/>
    <cellStyle name="Note 2 4 5 2 3" xfId="22673" xr:uid="{00000000-0005-0000-0000-000071660000}"/>
    <cellStyle name="Note 2 4 5 3" xfId="5063" xr:uid="{00000000-0005-0000-0000-000072660000}"/>
    <cellStyle name="Note 2 4 5 3 2" xfId="22675" xr:uid="{00000000-0005-0000-0000-000073660000}"/>
    <cellStyle name="Note 2 4 5 4" xfId="22672" xr:uid="{00000000-0005-0000-0000-000074660000}"/>
    <cellStyle name="Note 2 4 6" xfId="3417" xr:uid="{00000000-0005-0000-0000-000075660000}"/>
    <cellStyle name="Note 2 4 6 2" xfId="5066" xr:uid="{00000000-0005-0000-0000-000076660000}"/>
    <cellStyle name="Note 2 4 6 2 2" xfId="22678" xr:uid="{00000000-0005-0000-0000-000077660000}"/>
    <cellStyle name="Note 2 4 6 2 3" xfId="22677" xr:uid="{00000000-0005-0000-0000-000078660000}"/>
    <cellStyle name="Note 2 4 6 3" xfId="5065" xr:uid="{00000000-0005-0000-0000-000079660000}"/>
    <cellStyle name="Note 2 4 6 3 2" xfId="22679" xr:uid="{00000000-0005-0000-0000-00007A660000}"/>
    <cellStyle name="Note 2 4 6 4" xfId="22676" xr:uid="{00000000-0005-0000-0000-00007B660000}"/>
    <cellStyle name="Note 2 4 7" xfId="22680" xr:uid="{00000000-0005-0000-0000-00007C660000}"/>
    <cellStyle name="Note 2 4 8" xfId="22655" xr:uid="{00000000-0005-0000-0000-00007D660000}"/>
    <cellStyle name="Note 2 5" xfId="1703" xr:uid="{00000000-0005-0000-0000-00007E660000}"/>
    <cellStyle name="Note 2 5 2" xfId="22682" xr:uid="{00000000-0005-0000-0000-00007F660000}"/>
    <cellStyle name="Note 2 5 2 2" xfId="22683" xr:uid="{00000000-0005-0000-0000-000080660000}"/>
    <cellStyle name="Note 2 5 3" xfId="22684" xr:uid="{00000000-0005-0000-0000-000081660000}"/>
    <cellStyle name="Note 2 5 3 2" xfId="22685" xr:uid="{00000000-0005-0000-0000-000082660000}"/>
    <cellStyle name="Note 2 5 4" xfId="22686" xr:uid="{00000000-0005-0000-0000-000083660000}"/>
    <cellStyle name="Note 2 5 4 2" xfId="22687" xr:uid="{00000000-0005-0000-0000-000084660000}"/>
    <cellStyle name="Note 2 5 5" xfId="22688" xr:uid="{00000000-0005-0000-0000-000085660000}"/>
    <cellStyle name="Note 2 5 6" xfId="22681" xr:uid="{00000000-0005-0000-0000-000086660000}"/>
    <cellStyle name="Note 2 6" xfId="2038" xr:uid="{00000000-0005-0000-0000-000087660000}"/>
    <cellStyle name="Note 2 6 2" xfId="22690" xr:uid="{00000000-0005-0000-0000-000088660000}"/>
    <cellStyle name="Note 2 6 2 2" xfId="22691" xr:uid="{00000000-0005-0000-0000-000089660000}"/>
    <cellStyle name="Note 2 6 3" xfId="22692" xr:uid="{00000000-0005-0000-0000-00008A660000}"/>
    <cellStyle name="Note 2 6 3 2" xfId="22693" xr:uid="{00000000-0005-0000-0000-00008B660000}"/>
    <cellStyle name="Note 2 6 4" xfId="22694" xr:uid="{00000000-0005-0000-0000-00008C660000}"/>
    <cellStyle name="Note 2 6 4 2" xfId="22695" xr:uid="{00000000-0005-0000-0000-00008D660000}"/>
    <cellStyle name="Note 2 6 5" xfId="22696" xr:uid="{00000000-0005-0000-0000-00008E660000}"/>
    <cellStyle name="Note 2 6 6" xfId="22689" xr:uid="{00000000-0005-0000-0000-00008F660000}"/>
    <cellStyle name="Note 2 7" xfId="2412" xr:uid="{00000000-0005-0000-0000-000090660000}"/>
    <cellStyle name="Note 2 7 2" xfId="22698" xr:uid="{00000000-0005-0000-0000-000091660000}"/>
    <cellStyle name="Note 2 7 2 2" xfId="22699" xr:uid="{00000000-0005-0000-0000-000092660000}"/>
    <cellStyle name="Note 2 7 3" xfId="22700" xr:uid="{00000000-0005-0000-0000-000093660000}"/>
    <cellStyle name="Note 2 7 3 2" xfId="22701" xr:uid="{00000000-0005-0000-0000-000094660000}"/>
    <cellStyle name="Note 2 7 4" xfId="22702" xr:uid="{00000000-0005-0000-0000-000095660000}"/>
    <cellStyle name="Note 2 7 4 2" xfId="22703" xr:uid="{00000000-0005-0000-0000-000096660000}"/>
    <cellStyle name="Note 2 7 5" xfId="22704" xr:uid="{00000000-0005-0000-0000-000097660000}"/>
    <cellStyle name="Note 2 7 6" xfId="22697" xr:uid="{00000000-0005-0000-0000-000098660000}"/>
    <cellStyle name="Note 2 8" xfId="2785" xr:uid="{00000000-0005-0000-0000-000099660000}"/>
    <cellStyle name="Note 2 8 2" xfId="22706" xr:uid="{00000000-0005-0000-0000-00009A660000}"/>
    <cellStyle name="Note 2 8 2 2" xfId="22707" xr:uid="{00000000-0005-0000-0000-00009B660000}"/>
    <cellStyle name="Note 2 8 3" xfId="22708" xr:uid="{00000000-0005-0000-0000-00009C660000}"/>
    <cellStyle name="Note 2 8 3 2" xfId="22709" xr:uid="{00000000-0005-0000-0000-00009D660000}"/>
    <cellStyle name="Note 2 8 4" xfId="22710" xr:uid="{00000000-0005-0000-0000-00009E660000}"/>
    <cellStyle name="Note 2 8 4 2" xfId="22711" xr:uid="{00000000-0005-0000-0000-00009F660000}"/>
    <cellStyle name="Note 2 8 5" xfId="22712" xr:uid="{00000000-0005-0000-0000-0000A0660000}"/>
    <cellStyle name="Note 2 8 6" xfId="22705" xr:uid="{00000000-0005-0000-0000-0000A1660000}"/>
    <cellStyle name="Note 2 9" xfId="3159" xr:uid="{00000000-0005-0000-0000-0000A2660000}"/>
    <cellStyle name="Note 2 9 2" xfId="22714" xr:uid="{00000000-0005-0000-0000-0000A3660000}"/>
    <cellStyle name="Note 2 9 2 2" xfId="22715" xr:uid="{00000000-0005-0000-0000-0000A4660000}"/>
    <cellStyle name="Note 2 9 3" xfId="22716" xr:uid="{00000000-0005-0000-0000-0000A5660000}"/>
    <cellStyle name="Note 2 9 3 2" xfId="22717" xr:uid="{00000000-0005-0000-0000-0000A6660000}"/>
    <cellStyle name="Note 2 9 4" xfId="22718" xr:uid="{00000000-0005-0000-0000-0000A7660000}"/>
    <cellStyle name="Note 2 9 4 2" xfId="22719" xr:uid="{00000000-0005-0000-0000-0000A8660000}"/>
    <cellStyle name="Note 2 9 5" xfId="22720" xr:uid="{00000000-0005-0000-0000-0000A9660000}"/>
    <cellStyle name="Note 2 9 6" xfId="22713" xr:uid="{00000000-0005-0000-0000-0000AA660000}"/>
    <cellStyle name="Note 3" xfId="208" xr:uid="{00000000-0005-0000-0000-0000AB660000}"/>
    <cellStyle name="Note 3 10" xfId="3711" xr:uid="{00000000-0005-0000-0000-0000AC660000}"/>
    <cellStyle name="Note 3 10 2" xfId="22723" xr:uid="{00000000-0005-0000-0000-0000AD660000}"/>
    <cellStyle name="Note 3 10 2 2" xfId="22724" xr:uid="{00000000-0005-0000-0000-0000AE660000}"/>
    <cellStyle name="Note 3 10 3" xfId="22725" xr:uid="{00000000-0005-0000-0000-0000AF660000}"/>
    <cellStyle name="Note 3 10 3 2" xfId="22726" xr:uid="{00000000-0005-0000-0000-0000B0660000}"/>
    <cellStyle name="Note 3 10 4" xfId="22727" xr:uid="{00000000-0005-0000-0000-0000B1660000}"/>
    <cellStyle name="Note 3 10 4 2" xfId="22728" xr:uid="{00000000-0005-0000-0000-0000B2660000}"/>
    <cellStyle name="Note 3 10 5" xfId="22729" xr:uid="{00000000-0005-0000-0000-0000B3660000}"/>
    <cellStyle name="Note 3 10 6" xfId="22722" xr:uid="{00000000-0005-0000-0000-0000B4660000}"/>
    <cellStyle name="Note 3 11" xfId="5068" xr:uid="{00000000-0005-0000-0000-0000B5660000}"/>
    <cellStyle name="Note 3 11 2" xfId="22731" xr:uid="{00000000-0005-0000-0000-0000B6660000}"/>
    <cellStyle name="Note 3 11 2 2" xfId="22732" xr:uid="{00000000-0005-0000-0000-0000B7660000}"/>
    <cellStyle name="Note 3 11 3" xfId="22733" xr:uid="{00000000-0005-0000-0000-0000B8660000}"/>
    <cellStyle name="Note 3 11 3 2" xfId="22734" xr:uid="{00000000-0005-0000-0000-0000B9660000}"/>
    <cellStyle name="Note 3 11 4" xfId="22735" xr:uid="{00000000-0005-0000-0000-0000BA660000}"/>
    <cellStyle name="Note 3 11 5" xfId="22730" xr:uid="{00000000-0005-0000-0000-0000BB660000}"/>
    <cellStyle name="Note 3 12" xfId="5067" xr:uid="{00000000-0005-0000-0000-0000BC660000}"/>
    <cellStyle name="Note 3 12 2" xfId="22737" xr:uid="{00000000-0005-0000-0000-0000BD660000}"/>
    <cellStyle name="Note 3 12 2 2" xfId="22738" xr:uid="{00000000-0005-0000-0000-0000BE660000}"/>
    <cellStyle name="Note 3 12 3" xfId="22739" xr:uid="{00000000-0005-0000-0000-0000BF660000}"/>
    <cellStyle name="Note 3 12 3 2" xfId="22740" xr:uid="{00000000-0005-0000-0000-0000C0660000}"/>
    <cellStyle name="Note 3 12 4" xfId="22741" xr:uid="{00000000-0005-0000-0000-0000C1660000}"/>
    <cellStyle name="Note 3 12 5" xfId="22736" xr:uid="{00000000-0005-0000-0000-0000C2660000}"/>
    <cellStyle name="Note 3 13" xfId="22742" xr:uid="{00000000-0005-0000-0000-0000C3660000}"/>
    <cellStyle name="Note 3 13 2" xfId="22743" xr:uid="{00000000-0005-0000-0000-0000C4660000}"/>
    <cellStyle name="Note 3 13 2 2" xfId="22744" xr:uid="{00000000-0005-0000-0000-0000C5660000}"/>
    <cellStyle name="Note 3 13 3" xfId="22745" xr:uid="{00000000-0005-0000-0000-0000C6660000}"/>
    <cellStyle name="Note 3 13 3 2" xfId="22746" xr:uid="{00000000-0005-0000-0000-0000C7660000}"/>
    <cellStyle name="Note 3 13 4" xfId="22747" xr:uid="{00000000-0005-0000-0000-0000C8660000}"/>
    <cellStyle name="Note 3 14" xfId="22748" xr:uid="{00000000-0005-0000-0000-0000C9660000}"/>
    <cellStyle name="Note 3 14 2" xfId="22749" xr:uid="{00000000-0005-0000-0000-0000CA660000}"/>
    <cellStyle name="Note 3 14 2 2" xfId="22750" xr:uid="{00000000-0005-0000-0000-0000CB660000}"/>
    <cellStyle name="Note 3 14 3" xfId="22751" xr:uid="{00000000-0005-0000-0000-0000CC660000}"/>
    <cellStyle name="Note 3 14 3 2" xfId="22752" xr:uid="{00000000-0005-0000-0000-0000CD660000}"/>
    <cellStyle name="Note 3 14 4" xfId="22753" xr:uid="{00000000-0005-0000-0000-0000CE660000}"/>
    <cellStyle name="Note 3 15" xfId="22754" xr:uid="{00000000-0005-0000-0000-0000CF660000}"/>
    <cellStyle name="Note 3 15 2" xfId="22755" xr:uid="{00000000-0005-0000-0000-0000D0660000}"/>
    <cellStyle name="Note 3 16" xfId="22756" xr:uid="{00000000-0005-0000-0000-0000D1660000}"/>
    <cellStyle name="Note 3 16 2" xfId="22757" xr:uid="{00000000-0005-0000-0000-0000D2660000}"/>
    <cellStyle name="Note 3 17" xfId="22758" xr:uid="{00000000-0005-0000-0000-0000D3660000}"/>
    <cellStyle name="Note 3 17 2" xfId="22759" xr:uid="{00000000-0005-0000-0000-0000D4660000}"/>
    <cellStyle name="Note 3 18" xfId="22760" xr:uid="{00000000-0005-0000-0000-0000D5660000}"/>
    <cellStyle name="Note 3 19" xfId="22721" xr:uid="{00000000-0005-0000-0000-0000D6660000}"/>
    <cellStyle name="Note 3 2" xfId="1484" xr:uid="{00000000-0005-0000-0000-0000D7660000}"/>
    <cellStyle name="Note 3 2 10" xfId="22762" xr:uid="{00000000-0005-0000-0000-0000D8660000}"/>
    <cellStyle name="Note 3 2 10 2" xfId="22763" xr:uid="{00000000-0005-0000-0000-0000D9660000}"/>
    <cellStyle name="Note 3 2 10 2 2" xfId="22764" xr:uid="{00000000-0005-0000-0000-0000DA660000}"/>
    <cellStyle name="Note 3 2 10 3" xfId="22765" xr:uid="{00000000-0005-0000-0000-0000DB660000}"/>
    <cellStyle name="Note 3 2 10 3 2" xfId="22766" xr:uid="{00000000-0005-0000-0000-0000DC660000}"/>
    <cellStyle name="Note 3 2 10 4" xfId="22767" xr:uid="{00000000-0005-0000-0000-0000DD660000}"/>
    <cellStyle name="Note 3 2 11" xfId="22768" xr:uid="{00000000-0005-0000-0000-0000DE660000}"/>
    <cellStyle name="Note 3 2 11 2" xfId="22769" xr:uid="{00000000-0005-0000-0000-0000DF660000}"/>
    <cellStyle name="Note 3 2 11 2 2" xfId="22770" xr:uid="{00000000-0005-0000-0000-0000E0660000}"/>
    <cellStyle name="Note 3 2 11 3" xfId="22771" xr:uid="{00000000-0005-0000-0000-0000E1660000}"/>
    <cellStyle name="Note 3 2 11 3 2" xfId="22772" xr:uid="{00000000-0005-0000-0000-0000E2660000}"/>
    <cellStyle name="Note 3 2 11 4" xfId="22773" xr:uid="{00000000-0005-0000-0000-0000E3660000}"/>
    <cellStyle name="Note 3 2 12" xfId="22774" xr:uid="{00000000-0005-0000-0000-0000E4660000}"/>
    <cellStyle name="Note 3 2 12 2" xfId="22775" xr:uid="{00000000-0005-0000-0000-0000E5660000}"/>
    <cellStyle name="Note 3 2 12 2 2" xfId="22776" xr:uid="{00000000-0005-0000-0000-0000E6660000}"/>
    <cellStyle name="Note 3 2 12 3" xfId="22777" xr:uid="{00000000-0005-0000-0000-0000E7660000}"/>
    <cellStyle name="Note 3 2 12 3 2" xfId="22778" xr:uid="{00000000-0005-0000-0000-0000E8660000}"/>
    <cellStyle name="Note 3 2 12 4" xfId="22779" xr:uid="{00000000-0005-0000-0000-0000E9660000}"/>
    <cellStyle name="Note 3 2 13" xfId="22780" xr:uid="{00000000-0005-0000-0000-0000EA660000}"/>
    <cellStyle name="Note 3 2 13 2" xfId="22781" xr:uid="{00000000-0005-0000-0000-0000EB660000}"/>
    <cellStyle name="Note 3 2 14" xfId="22782" xr:uid="{00000000-0005-0000-0000-0000EC660000}"/>
    <cellStyle name="Note 3 2 14 2" xfId="22783" xr:uid="{00000000-0005-0000-0000-0000ED660000}"/>
    <cellStyle name="Note 3 2 15" xfId="22784" xr:uid="{00000000-0005-0000-0000-0000EE660000}"/>
    <cellStyle name="Note 3 2 16" xfId="22761" xr:uid="{00000000-0005-0000-0000-0000EF660000}"/>
    <cellStyle name="Note 3 2 2" xfId="1819" xr:uid="{00000000-0005-0000-0000-0000F0660000}"/>
    <cellStyle name="Note 3 2 2 2" xfId="5070" xr:uid="{00000000-0005-0000-0000-0000F1660000}"/>
    <cellStyle name="Note 3 2 2 2 2" xfId="22787" xr:uid="{00000000-0005-0000-0000-0000F2660000}"/>
    <cellStyle name="Note 3 2 2 2 3" xfId="22786" xr:uid="{00000000-0005-0000-0000-0000F3660000}"/>
    <cellStyle name="Note 3 2 2 3" xfId="5069" xr:uid="{00000000-0005-0000-0000-0000F4660000}"/>
    <cellStyle name="Note 3 2 2 3 2" xfId="22789" xr:uid="{00000000-0005-0000-0000-0000F5660000}"/>
    <cellStyle name="Note 3 2 2 3 3" xfId="22788" xr:uid="{00000000-0005-0000-0000-0000F6660000}"/>
    <cellStyle name="Note 3 2 2 4" xfId="22790" xr:uid="{00000000-0005-0000-0000-0000F7660000}"/>
    <cellStyle name="Note 3 2 2 4 2" xfId="22791" xr:uid="{00000000-0005-0000-0000-0000F8660000}"/>
    <cellStyle name="Note 3 2 2 5" xfId="22792" xr:uid="{00000000-0005-0000-0000-0000F9660000}"/>
    <cellStyle name="Note 3 2 2 6" xfId="22785" xr:uid="{00000000-0005-0000-0000-0000FA660000}"/>
    <cellStyle name="Note 3 2 2 7" xfId="24554" xr:uid="{00000000-0005-0000-0000-0000FB660000}"/>
    <cellStyle name="Note 3 2 3" xfId="2194" xr:uid="{00000000-0005-0000-0000-0000FC660000}"/>
    <cellStyle name="Note 3 2 3 2" xfId="5072" xr:uid="{00000000-0005-0000-0000-0000FD660000}"/>
    <cellStyle name="Note 3 2 3 2 2" xfId="22795" xr:uid="{00000000-0005-0000-0000-0000FE660000}"/>
    <cellStyle name="Note 3 2 3 2 3" xfId="22794" xr:uid="{00000000-0005-0000-0000-0000FF660000}"/>
    <cellStyle name="Note 3 2 3 3" xfId="5071" xr:uid="{00000000-0005-0000-0000-000000670000}"/>
    <cellStyle name="Note 3 2 3 3 2" xfId="22797" xr:uid="{00000000-0005-0000-0000-000001670000}"/>
    <cellStyle name="Note 3 2 3 3 3" xfId="22796" xr:uid="{00000000-0005-0000-0000-000002670000}"/>
    <cellStyle name="Note 3 2 3 4" xfId="22798" xr:uid="{00000000-0005-0000-0000-000003670000}"/>
    <cellStyle name="Note 3 2 3 4 2" xfId="22799" xr:uid="{00000000-0005-0000-0000-000004670000}"/>
    <cellStyle name="Note 3 2 3 5" xfId="22800" xr:uid="{00000000-0005-0000-0000-000005670000}"/>
    <cellStyle name="Note 3 2 3 6" xfId="22793" xr:uid="{00000000-0005-0000-0000-000006670000}"/>
    <cellStyle name="Note 3 2 4" xfId="2568" xr:uid="{00000000-0005-0000-0000-000007670000}"/>
    <cellStyle name="Note 3 2 4 2" xfId="5074" xr:uid="{00000000-0005-0000-0000-000008670000}"/>
    <cellStyle name="Note 3 2 4 2 2" xfId="22803" xr:uid="{00000000-0005-0000-0000-000009670000}"/>
    <cellStyle name="Note 3 2 4 2 3" xfId="22802" xr:uid="{00000000-0005-0000-0000-00000A670000}"/>
    <cellStyle name="Note 3 2 4 3" xfId="5073" xr:uid="{00000000-0005-0000-0000-00000B670000}"/>
    <cellStyle name="Note 3 2 4 3 2" xfId="22805" xr:uid="{00000000-0005-0000-0000-00000C670000}"/>
    <cellStyle name="Note 3 2 4 3 3" xfId="22804" xr:uid="{00000000-0005-0000-0000-00000D670000}"/>
    <cellStyle name="Note 3 2 4 4" xfId="22806" xr:uid="{00000000-0005-0000-0000-00000E670000}"/>
    <cellStyle name="Note 3 2 4 4 2" xfId="22807" xr:uid="{00000000-0005-0000-0000-00000F670000}"/>
    <cellStyle name="Note 3 2 4 5" xfId="22808" xr:uid="{00000000-0005-0000-0000-000010670000}"/>
    <cellStyle name="Note 3 2 4 6" xfId="22801" xr:uid="{00000000-0005-0000-0000-000011670000}"/>
    <cellStyle name="Note 3 2 5" xfId="2940" xr:uid="{00000000-0005-0000-0000-000012670000}"/>
    <cellStyle name="Note 3 2 5 2" xfId="5076" xr:uid="{00000000-0005-0000-0000-000013670000}"/>
    <cellStyle name="Note 3 2 5 2 2" xfId="22811" xr:uid="{00000000-0005-0000-0000-000014670000}"/>
    <cellStyle name="Note 3 2 5 2 3" xfId="22810" xr:uid="{00000000-0005-0000-0000-000015670000}"/>
    <cellStyle name="Note 3 2 5 3" xfId="5075" xr:uid="{00000000-0005-0000-0000-000016670000}"/>
    <cellStyle name="Note 3 2 5 3 2" xfId="22813" xr:uid="{00000000-0005-0000-0000-000017670000}"/>
    <cellStyle name="Note 3 2 5 3 3" xfId="22812" xr:uid="{00000000-0005-0000-0000-000018670000}"/>
    <cellStyle name="Note 3 2 5 4" xfId="22814" xr:uid="{00000000-0005-0000-0000-000019670000}"/>
    <cellStyle name="Note 3 2 5 4 2" xfId="22815" xr:uid="{00000000-0005-0000-0000-00001A670000}"/>
    <cellStyle name="Note 3 2 5 5" xfId="22816" xr:uid="{00000000-0005-0000-0000-00001B670000}"/>
    <cellStyle name="Note 3 2 5 6" xfId="22809" xr:uid="{00000000-0005-0000-0000-00001C670000}"/>
    <cellStyle name="Note 3 2 6" xfId="3312" xr:uid="{00000000-0005-0000-0000-00001D670000}"/>
    <cellStyle name="Note 3 2 6 2" xfId="5078" xr:uid="{00000000-0005-0000-0000-00001E670000}"/>
    <cellStyle name="Note 3 2 6 2 2" xfId="22819" xr:uid="{00000000-0005-0000-0000-00001F670000}"/>
    <cellStyle name="Note 3 2 6 2 3" xfId="22818" xr:uid="{00000000-0005-0000-0000-000020670000}"/>
    <cellStyle name="Note 3 2 6 3" xfId="5077" xr:uid="{00000000-0005-0000-0000-000021670000}"/>
    <cellStyle name="Note 3 2 6 3 2" xfId="22821" xr:uid="{00000000-0005-0000-0000-000022670000}"/>
    <cellStyle name="Note 3 2 6 3 3" xfId="22820" xr:uid="{00000000-0005-0000-0000-000023670000}"/>
    <cellStyle name="Note 3 2 6 4" xfId="22822" xr:uid="{00000000-0005-0000-0000-000024670000}"/>
    <cellStyle name="Note 3 2 6 4 2" xfId="22823" xr:uid="{00000000-0005-0000-0000-000025670000}"/>
    <cellStyle name="Note 3 2 6 5" xfId="22824" xr:uid="{00000000-0005-0000-0000-000026670000}"/>
    <cellStyle name="Note 3 2 6 6" xfId="22817" xr:uid="{00000000-0005-0000-0000-000027670000}"/>
    <cellStyle name="Note 3 2 7" xfId="22825" xr:uid="{00000000-0005-0000-0000-000028670000}"/>
    <cellStyle name="Note 3 2 7 2" xfId="22826" xr:uid="{00000000-0005-0000-0000-000029670000}"/>
    <cellStyle name="Note 3 2 7 2 2" xfId="22827" xr:uid="{00000000-0005-0000-0000-00002A670000}"/>
    <cellStyle name="Note 3 2 7 3" xfId="22828" xr:uid="{00000000-0005-0000-0000-00002B670000}"/>
    <cellStyle name="Note 3 2 7 3 2" xfId="22829" xr:uid="{00000000-0005-0000-0000-00002C670000}"/>
    <cellStyle name="Note 3 2 7 4" xfId="22830" xr:uid="{00000000-0005-0000-0000-00002D670000}"/>
    <cellStyle name="Note 3 2 8" xfId="22831" xr:uid="{00000000-0005-0000-0000-00002E670000}"/>
    <cellStyle name="Note 3 2 8 2" xfId="22832" xr:uid="{00000000-0005-0000-0000-00002F670000}"/>
    <cellStyle name="Note 3 2 8 2 2" xfId="22833" xr:uid="{00000000-0005-0000-0000-000030670000}"/>
    <cellStyle name="Note 3 2 8 3" xfId="22834" xr:uid="{00000000-0005-0000-0000-000031670000}"/>
    <cellStyle name="Note 3 2 8 3 2" xfId="22835" xr:uid="{00000000-0005-0000-0000-000032670000}"/>
    <cellStyle name="Note 3 2 8 4" xfId="22836" xr:uid="{00000000-0005-0000-0000-000033670000}"/>
    <cellStyle name="Note 3 2 9" xfId="22837" xr:uid="{00000000-0005-0000-0000-000034670000}"/>
    <cellStyle name="Note 3 2 9 2" xfId="22838" xr:uid="{00000000-0005-0000-0000-000035670000}"/>
    <cellStyle name="Note 3 2 9 2 2" xfId="22839" xr:uid="{00000000-0005-0000-0000-000036670000}"/>
    <cellStyle name="Note 3 2 9 3" xfId="22840" xr:uid="{00000000-0005-0000-0000-000037670000}"/>
    <cellStyle name="Note 3 2 9 3 2" xfId="22841" xr:uid="{00000000-0005-0000-0000-000038670000}"/>
    <cellStyle name="Note 3 2 9 4" xfId="22842" xr:uid="{00000000-0005-0000-0000-000039670000}"/>
    <cellStyle name="Note 3 3" xfId="1611" xr:uid="{00000000-0005-0000-0000-00003A670000}"/>
    <cellStyle name="Note 3 3 2" xfId="1896" xr:uid="{00000000-0005-0000-0000-00003B670000}"/>
    <cellStyle name="Note 3 3 2 2" xfId="5080" xr:uid="{00000000-0005-0000-0000-00003C670000}"/>
    <cellStyle name="Note 3 3 2 2 2" xfId="22846" xr:uid="{00000000-0005-0000-0000-00003D670000}"/>
    <cellStyle name="Note 3 3 2 2 3" xfId="22845" xr:uid="{00000000-0005-0000-0000-00003E670000}"/>
    <cellStyle name="Note 3 3 2 3" xfId="5079" xr:uid="{00000000-0005-0000-0000-00003F670000}"/>
    <cellStyle name="Note 3 3 2 3 2" xfId="22848" xr:uid="{00000000-0005-0000-0000-000040670000}"/>
    <cellStyle name="Note 3 3 2 3 3" xfId="22847" xr:uid="{00000000-0005-0000-0000-000041670000}"/>
    <cellStyle name="Note 3 3 2 4" xfId="22849" xr:uid="{00000000-0005-0000-0000-000042670000}"/>
    <cellStyle name="Note 3 3 2 4 2" xfId="22850" xr:uid="{00000000-0005-0000-0000-000043670000}"/>
    <cellStyle name="Note 3 3 2 5" xfId="22851" xr:uid="{00000000-0005-0000-0000-000044670000}"/>
    <cellStyle name="Note 3 3 2 6" xfId="22844" xr:uid="{00000000-0005-0000-0000-000045670000}"/>
    <cellStyle name="Note 3 3 3" xfId="2271" xr:uid="{00000000-0005-0000-0000-000046670000}"/>
    <cellStyle name="Note 3 3 3 2" xfId="5082" xr:uid="{00000000-0005-0000-0000-000047670000}"/>
    <cellStyle name="Note 3 3 3 2 2" xfId="22854" xr:uid="{00000000-0005-0000-0000-000048670000}"/>
    <cellStyle name="Note 3 3 3 2 3" xfId="22853" xr:uid="{00000000-0005-0000-0000-000049670000}"/>
    <cellStyle name="Note 3 3 3 3" xfId="5081" xr:uid="{00000000-0005-0000-0000-00004A670000}"/>
    <cellStyle name="Note 3 3 3 3 2" xfId="22855" xr:uid="{00000000-0005-0000-0000-00004B670000}"/>
    <cellStyle name="Note 3 3 3 4" xfId="22852" xr:uid="{00000000-0005-0000-0000-00004C670000}"/>
    <cellStyle name="Note 3 3 4" xfId="2644" xr:uid="{00000000-0005-0000-0000-00004D670000}"/>
    <cellStyle name="Note 3 3 4 2" xfId="5084" xr:uid="{00000000-0005-0000-0000-00004E670000}"/>
    <cellStyle name="Note 3 3 4 2 2" xfId="22858" xr:uid="{00000000-0005-0000-0000-00004F670000}"/>
    <cellStyle name="Note 3 3 4 2 3" xfId="22857" xr:uid="{00000000-0005-0000-0000-000050670000}"/>
    <cellStyle name="Note 3 3 4 3" xfId="5083" xr:uid="{00000000-0005-0000-0000-000051670000}"/>
    <cellStyle name="Note 3 3 4 3 2" xfId="22859" xr:uid="{00000000-0005-0000-0000-000052670000}"/>
    <cellStyle name="Note 3 3 4 4" xfId="22856" xr:uid="{00000000-0005-0000-0000-000053670000}"/>
    <cellStyle name="Note 3 3 5" xfId="3017" xr:uid="{00000000-0005-0000-0000-000054670000}"/>
    <cellStyle name="Note 3 3 5 2" xfId="5086" xr:uid="{00000000-0005-0000-0000-000055670000}"/>
    <cellStyle name="Note 3 3 5 2 2" xfId="22862" xr:uid="{00000000-0005-0000-0000-000056670000}"/>
    <cellStyle name="Note 3 3 5 2 3" xfId="22861" xr:uid="{00000000-0005-0000-0000-000057670000}"/>
    <cellStyle name="Note 3 3 5 3" xfId="5085" xr:uid="{00000000-0005-0000-0000-000058670000}"/>
    <cellStyle name="Note 3 3 5 3 2" xfId="22863" xr:uid="{00000000-0005-0000-0000-000059670000}"/>
    <cellStyle name="Note 3 3 5 4" xfId="22860" xr:uid="{00000000-0005-0000-0000-00005A670000}"/>
    <cellStyle name="Note 3 3 6" xfId="3388" xr:uid="{00000000-0005-0000-0000-00005B670000}"/>
    <cellStyle name="Note 3 3 6 2" xfId="5088" xr:uid="{00000000-0005-0000-0000-00005C670000}"/>
    <cellStyle name="Note 3 3 6 2 2" xfId="22866" xr:uid="{00000000-0005-0000-0000-00005D670000}"/>
    <cellStyle name="Note 3 3 6 2 3" xfId="22865" xr:uid="{00000000-0005-0000-0000-00005E670000}"/>
    <cellStyle name="Note 3 3 6 3" xfId="5087" xr:uid="{00000000-0005-0000-0000-00005F670000}"/>
    <cellStyle name="Note 3 3 6 3 2" xfId="22867" xr:uid="{00000000-0005-0000-0000-000060670000}"/>
    <cellStyle name="Note 3 3 6 4" xfId="22864" xr:uid="{00000000-0005-0000-0000-000061670000}"/>
    <cellStyle name="Note 3 3 7" xfId="22868" xr:uid="{00000000-0005-0000-0000-000062670000}"/>
    <cellStyle name="Note 3 3 8" xfId="22843" xr:uid="{00000000-0005-0000-0000-000063670000}"/>
    <cellStyle name="Note 3 4" xfId="1753" xr:uid="{00000000-0005-0000-0000-000064670000}"/>
    <cellStyle name="Note 3 4 2" xfId="1940" xr:uid="{00000000-0005-0000-0000-000065670000}"/>
    <cellStyle name="Note 3 4 2 2" xfId="5090" xr:uid="{00000000-0005-0000-0000-000066670000}"/>
    <cellStyle name="Note 3 4 2 2 2" xfId="22872" xr:uid="{00000000-0005-0000-0000-000067670000}"/>
    <cellStyle name="Note 3 4 2 2 3" xfId="22871" xr:uid="{00000000-0005-0000-0000-000068670000}"/>
    <cellStyle name="Note 3 4 2 3" xfId="5089" xr:uid="{00000000-0005-0000-0000-000069670000}"/>
    <cellStyle name="Note 3 4 2 3 2" xfId="22874" xr:uid="{00000000-0005-0000-0000-00006A670000}"/>
    <cellStyle name="Note 3 4 2 3 3" xfId="22873" xr:uid="{00000000-0005-0000-0000-00006B670000}"/>
    <cellStyle name="Note 3 4 2 4" xfId="22875" xr:uid="{00000000-0005-0000-0000-00006C670000}"/>
    <cellStyle name="Note 3 4 2 4 2" xfId="22876" xr:uid="{00000000-0005-0000-0000-00006D670000}"/>
    <cellStyle name="Note 3 4 2 5" xfId="22877" xr:uid="{00000000-0005-0000-0000-00006E670000}"/>
    <cellStyle name="Note 3 4 2 6" xfId="22870" xr:uid="{00000000-0005-0000-0000-00006F670000}"/>
    <cellStyle name="Note 3 4 3" xfId="2315" xr:uid="{00000000-0005-0000-0000-000070670000}"/>
    <cellStyle name="Note 3 4 3 2" xfId="5092" xr:uid="{00000000-0005-0000-0000-000071670000}"/>
    <cellStyle name="Note 3 4 3 2 2" xfId="22880" xr:uid="{00000000-0005-0000-0000-000072670000}"/>
    <cellStyle name="Note 3 4 3 2 3" xfId="22879" xr:uid="{00000000-0005-0000-0000-000073670000}"/>
    <cellStyle name="Note 3 4 3 3" xfId="5091" xr:uid="{00000000-0005-0000-0000-000074670000}"/>
    <cellStyle name="Note 3 4 3 3 2" xfId="22881" xr:uid="{00000000-0005-0000-0000-000075670000}"/>
    <cellStyle name="Note 3 4 3 4" xfId="22878" xr:uid="{00000000-0005-0000-0000-000076670000}"/>
    <cellStyle name="Note 3 4 4" xfId="2688" xr:uid="{00000000-0005-0000-0000-000077670000}"/>
    <cellStyle name="Note 3 4 4 2" xfId="5094" xr:uid="{00000000-0005-0000-0000-000078670000}"/>
    <cellStyle name="Note 3 4 4 2 2" xfId="22884" xr:uid="{00000000-0005-0000-0000-000079670000}"/>
    <cellStyle name="Note 3 4 4 2 3" xfId="22883" xr:uid="{00000000-0005-0000-0000-00007A670000}"/>
    <cellStyle name="Note 3 4 4 3" xfId="5093" xr:uid="{00000000-0005-0000-0000-00007B670000}"/>
    <cellStyle name="Note 3 4 4 3 2" xfId="22885" xr:uid="{00000000-0005-0000-0000-00007C670000}"/>
    <cellStyle name="Note 3 4 4 4" xfId="22882" xr:uid="{00000000-0005-0000-0000-00007D670000}"/>
    <cellStyle name="Note 3 4 5" xfId="3061" xr:uid="{00000000-0005-0000-0000-00007E670000}"/>
    <cellStyle name="Note 3 4 5 2" xfId="5096" xr:uid="{00000000-0005-0000-0000-00007F670000}"/>
    <cellStyle name="Note 3 4 5 2 2" xfId="22888" xr:uid="{00000000-0005-0000-0000-000080670000}"/>
    <cellStyle name="Note 3 4 5 2 3" xfId="22887" xr:uid="{00000000-0005-0000-0000-000081670000}"/>
    <cellStyle name="Note 3 4 5 3" xfId="5095" xr:uid="{00000000-0005-0000-0000-000082670000}"/>
    <cellStyle name="Note 3 4 5 3 2" xfId="22889" xr:uid="{00000000-0005-0000-0000-000083670000}"/>
    <cellStyle name="Note 3 4 5 4" xfId="22886" xr:uid="{00000000-0005-0000-0000-000084670000}"/>
    <cellStyle name="Note 3 4 6" xfId="3432" xr:uid="{00000000-0005-0000-0000-000085670000}"/>
    <cellStyle name="Note 3 4 6 2" xfId="5098" xr:uid="{00000000-0005-0000-0000-000086670000}"/>
    <cellStyle name="Note 3 4 6 2 2" xfId="22892" xr:uid="{00000000-0005-0000-0000-000087670000}"/>
    <cellStyle name="Note 3 4 6 2 3" xfId="22891" xr:uid="{00000000-0005-0000-0000-000088670000}"/>
    <cellStyle name="Note 3 4 6 3" xfId="5097" xr:uid="{00000000-0005-0000-0000-000089670000}"/>
    <cellStyle name="Note 3 4 6 3 2" xfId="22893" xr:uid="{00000000-0005-0000-0000-00008A670000}"/>
    <cellStyle name="Note 3 4 6 4" xfId="22890" xr:uid="{00000000-0005-0000-0000-00008B670000}"/>
    <cellStyle name="Note 3 4 7" xfId="22894" xr:uid="{00000000-0005-0000-0000-00008C670000}"/>
    <cellStyle name="Note 3 4 8" xfId="22869" xr:uid="{00000000-0005-0000-0000-00008D670000}"/>
    <cellStyle name="Note 3 5" xfId="2088" xr:uid="{00000000-0005-0000-0000-00008E670000}"/>
    <cellStyle name="Note 3 5 2" xfId="22896" xr:uid="{00000000-0005-0000-0000-00008F670000}"/>
    <cellStyle name="Note 3 5 2 2" xfId="22897" xr:uid="{00000000-0005-0000-0000-000090670000}"/>
    <cellStyle name="Note 3 5 3" xfId="22898" xr:uid="{00000000-0005-0000-0000-000091670000}"/>
    <cellStyle name="Note 3 5 3 2" xfId="22899" xr:uid="{00000000-0005-0000-0000-000092670000}"/>
    <cellStyle name="Note 3 5 4" xfId="22900" xr:uid="{00000000-0005-0000-0000-000093670000}"/>
    <cellStyle name="Note 3 5 4 2" xfId="22901" xr:uid="{00000000-0005-0000-0000-000094670000}"/>
    <cellStyle name="Note 3 5 5" xfId="22902" xr:uid="{00000000-0005-0000-0000-000095670000}"/>
    <cellStyle name="Note 3 5 6" xfId="22895" xr:uid="{00000000-0005-0000-0000-000096670000}"/>
    <cellStyle name="Note 3 6" xfId="2462" xr:uid="{00000000-0005-0000-0000-000097670000}"/>
    <cellStyle name="Note 3 6 2" xfId="22904" xr:uid="{00000000-0005-0000-0000-000098670000}"/>
    <cellStyle name="Note 3 6 2 2" xfId="22905" xr:uid="{00000000-0005-0000-0000-000099670000}"/>
    <cellStyle name="Note 3 6 3" xfId="22906" xr:uid="{00000000-0005-0000-0000-00009A670000}"/>
    <cellStyle name="Note 3 6 3 2" xfId="22907" xr:uid="{00000000-0005-0000-0000-00009B670000}"/>
    <cellStyle name="Note 3 6 4" xfId="22908" xr:uid="{00000000-0005-0000-0000-00009C670000}"/>
    <cellStyle name="Note 3 6 4 2" xfId="22909" xr:uid="{00000000-0005-0000-0000-00009D670000}"/>
    <cellStyle name="Note 3 6 5" xfId="22910" xr:uid="{00000000-0005-0000-0000-00009E670000}"/>
    <cellStyle name="Note 3 6 6" xfId="22903" xr:uid="{00000000-0005-0000-0000-00009F670000}"/>
    <cellStyle name="Note 3 7" xfId="2834" xr:uid="{00000000-0005-0000-0000-0000A0670000}"/>
    <cellStyle name="Note 3 7 2" xfId="22912" xr:uid="{00000000-0005-0000-0000-0000A1670000}"/>
    <cellStyle name="Note 3 7 2 2" xfId="22913" xr:uid="{00000000-0005-0000-0000-0000A2670000}"/>
    <cellStyle name="Note 3 7 3" xfId="22914" xr:uid="{00000000-0005-0000-0000-0000A3670000}"/>
    <cellStyle name="Note 3 7 3 2" xfId="22915" xr:uid="{00000000-0005-0000-0000-0000A4670000}"/>
    <cellStyle name="Note 3 7 4" xfId="22916" xr:uid="{00000000-0005-0000-0000-0000A5670000}"/>
    <cellStyle name="Note 3 7 4 2" xfId="22917" xr:uid="{00000000-0005-0000-0000-0000A6670000}"/>
    <cellStyle name="Note 3 7 5" xfId="22918" xr:uid="{00000000-0005-0000-0000-0000A7670000}"/>
    <cellStyle name="Note 3 7 6" xfId="22911" xr:uid="{00000000-0005-0000-0000-0000A8670000}"/>
    <cellStyle name="Note 3 8" xfId="3205" xr:uid="{00000000-0005-0000-0000-0000A9670000}"/>
    <cellStyle name="Note 3 8 2" xfId="22920" xr:uid="{00000000-0005-0000-0000-0000AA670000}"/>
    <cellStyle name="Note 3 8 2 2" xfId="22921" xr:uid="{00000000-0005-0000-0000-0000AB670000}"/>
    <cellStyle name="Note 3 8 3" xfId="22922" xr:uid="{00000000-0005-0000-0000-0000AC670000}"/>
    <cellStyle name="Note 3 8 3 2" xfId="22923" xr:uid="{00000000-0005-0000-0000-0000AD670000}"/>
    <cellStyle name="Note 3 8 4" xfId="22924" xr:uid="{00000000-0005-0000-0000-0000AE670000}"/>
    <cellStyle name="Note 3 8 4 2" xfId="22925" xr:uid="{00000000-0005-0000-0000-0000AF670000}"/>
    <cellStyle name="Note 3 8 5" xfId="22926" xr:uid="{00000000-0005-0000-0000-0000B0670000}"/>
    <cellStyle name="Note 3 8 6" xfId="22919" xr:uid="{00000000-0005-0000-0000-0000B1670000}"/>
    <cellStyle name="Note 3 9" xfId="3575" xr:uid="{00000000-0005-0000-0000-0000B2670000}"/>
    <cellStyle name="Note 3 9 2" xfId="22928" xr:uid="{00000000-0005-0000-0000-0000B3670000}"/>
    <cellStyle name="Note 3 9 2 2" xfId="22929" xr:uid="{00000000-0005-0000-0000-0000B4670000}"/>
    <cellStyle name="Note 3 9 3" xfId="22930" xr:uid="{00000000-0005-0000-0000-0000B5670000}"/>
    <cellStyle name="Note 3 9 3 2" xfId="22931" xr:uid="{00000000-0005-0000-0000-0000B6670000}"/>
    <cellStyle name="Note 3 9 4" xfId="22932" xr:uid="{00000000-0005-0000-0000-0000B7670000}"/>
    <cellStyle name="Note 3 9 4 2" xfId="22933" xr:uid="{00000000-0005-0000-0000-0000B8670000}"/>
    <cellStyle name="Note 3 9 5" xfId="22934" xr:uid="{00000000-0005-0000-0000-0000B9670000}"/>
    <cellStyle name="Note 3 9 6" xfId="22927" xr:uid="{00000000-0005-0000-0000-0000BA670000}"/>
    <cellStyle name="Note 4" xfId="271" xr:uid="{00000000-0005-0000-0000-0000BB670000}"/>
    <cellStyle name="Note 4 10" xfId="3755" xr:uid="{00000000-0005-0000-0000-0000BC670000}"/>
    <cellStyle name="Note 4 10 2" xfId="22937" xr:uid="{00000000-0005-0000-0000-0000BD670000}"/>
    <cellStyle name="Note 4 10 2 2" xfId="22938" xr:uid="{00000000-0005-0000-0000-0000BE670000}"/>
    <cellStyle name="Note 4 10 3" xfId="22939" xr:uid="{00000000-0005-0000-0000-0000BF670000}"/>
    <cellStyle name="Note 4 10 3 2" xfId="22940" xr:uid="{00000000-0005-0000-0000-0000C0670000}"/>
    <cellStyle name="Note 4 10 4" xfId="22941" xr:uid="{00000000-0005-0000-0000-0000C1670000}"/>
    <cellStyle name="Note 4 10 4 2" xfId="22942" xr:uid="{00000000-0005-0000-0000-0000C2670000}"/>
    <cellStyle name="Note 4 10 5" xfId="22943" xr:uid="{00000000-0005-0000-0000-0000C3670000}"/>
    <cellStyle name="Note 4 10 6" xfId="22936" xr:uid="{00000000-0005-0000-0000-0000C4670000}"/>
    <cellStyle name="Note 4 11" xfId="1290" xr:uid="{00000000-0005-0000-0000-0000C5670000}"/>
    <cellStyle name="Note 4 11 10" xfId="22944" xr:uid="{00000000-0005-0000-0000-0000C6670000}"/>
    <cellStyle name="Note 4 11 11" xfId="24875" xr:uid="{00000000-0005-0000-0000-0000C7670000}"/>
    <cellStyle name="Note 4 11 12" xfId="28117" xr:uid="{00000000-0005-0000-0000-0000C8670000}"/>
    <cellStyle name="Note 4 11 2" xfId="4143" xr:uid="{00000000-0005-0000-0000-0000C9670000}"/>
    <cellStyle name="Note 4 11 2 2" xfId="5102" xr:uid="{00000000-0005-0000-0000-0000CA670000}"/>
    <cellStyle name="Note 4 11 2 2 2" xfId="22947" xr:uid="{00000000-0005-0000-0000-0000CB670000}"/>
    <cellStyle name="Note 4 11 2 2 3" xfId="22946" xr:uid="{00000000-0005-0000-0000-0000CC670000}"/>
    <cellStyle name="Note 4 11 2 3" xfId="5101" xr:uid="{00000000-0005-0000-0000-0000CD670000}"/>
    <cellStyle name="Note 4 11 2 3 2" xfId="22948" xr:uid="{00000000-0005-0000-0000-0000CE670000}"/>
    <cellStyle name="Note 4 11 2 4" xfId="7089" xr:uid="{00000000-0005-0000-0000-0000CF670000}"/>
    <cellStyle name="Note 4 11 2 4 2" xfId="28119" xr:uid="{00000000-0005-0000-0000-0000D0670000}"/>
    <cellStyle name="Note 4 11 2 5" xfId="22945" xr:uid="{00000000-0005-0000-0000-0000D1670000}"/>
    <cellStyle name="Note 4 11 2 6" xfId="24995" xr:uid="{00000000-0005-0000-0000-0000D2670000}"/>
    <cellStyle name="Note 4 11 2 7" xfId="28118" xr:uid="{00000000-0005-0000-0000-0000D3670000}"/>
    <cellStyle name="Note 4 11 3" xfId="5103" xr:uid="{00000000-0005-0000-0000-0000D4670000}"/>
    <cellStyle name="Note 4 11 3 2" xfId="22950" xr:uid="{00000000-0005-0000-0000-0000D5670000}"/>
    <cellStyle name="Note 4 11 3 3" xfId="22949" xr:uid="{00000000-0005-0000-0000-0000D6670000}"/>
    <cellStyle name="Note 4 11 4" xfId="5100" xr:uid="{00000000-0005-0000-0000-0000D7670000}"/>
    <cellStyle name="Note 4 11 4 2" xfId="22952" xr:uid="{00000000-0005-0000-0000-0000D8670000}"/>
    <cellStyle name="Note 4 11 4 3" xfId="22951" xr:uid="{00000000-0005-0000-0000-0000D9670000}"/>
    <cellStyle name="Note 4 11 5" xfId="7088" xr:uid="{00000000-0005-0000-0000-0000DA670000}"/>
    <cellStyle name="Note 4 11 5 2" xfId="22954" xr:uid="{00000000-0005-0000-0000-0000DB670000}"/>
    <cellStyle name="Note 4 11 5 2 2" xfId="22955" xr:uid="{00000000-0005-0000-0000-0000DC670000}"/>
    <cellStyle name="Note 4 11 5 3" xfId="22956" xr:uid="{00000000-0005-0000-0000-0000DD670000}"/>
    <cellStyle name="Note 4 11 5 3 2" xfId="22957" xr:uid="{00000000-0005-0000-0000-0000DE670000}"/>
    <cellStyle name="Note 4 11 5 4" xfId="22958" xr:uid="{00000000-0005-0000-0000-0000DF670000}"/>
    <cellStyle name="Note 4 11 5 5" xfId="22953" xr:uid="{00000000-0005-0000-0000-0000E0670000}"/>
    <cellStyle name="Note 4 11 5 6" xfId="28120" xr:uid="{00000000-0005-0000-0000-0000E1670000}"/>
    <cellStyle name="Note 4 11 6" xfId="22959" xr:uid="{00000000-0005-0000-0000-0000E2670000}"/>
    <cellStyle name="Note 4 11 6 2" xfId="22960" xr:uid="{00000000-0005-0000-0000-0000E3670000}"/>
    <cellStyle name="Note 4 11 7" xfId="22961" xr:uid="{00000000-0005-0000-0000-0000E4670000}"/>
    <cellStyle name="Note 4 11 7 2" xfId="22962" xr:uid="{00000000-0005-0000-0000-0000E5670000}"/>
    <cellStyle name="Note 4 11 8" xfId="22963" xr:uid="{00000000-0005-0000-0000-0000E6670000}"/>
    <cellStyle name="Note 4 11 8 2" xfId="22964" xr:uid="{00000000-0005-0000-0000-0000E7670000}"/>
    <cellStyle name="Note 4 11 9" xfId="22965" xr:uid="{00000000-0005-0000-0000-0000E8670000}"/>
    <cellStyle name="Note 4 12" xfId="5104" xr:uid="{00000000-0005-0000-0000-0000E9670000}"/>
    <cellStyle name="Note 4 12 2" xfId="5105" xr:uid="{00000000-0005-0000-0000-0000EA670000}"/>
    <cellStyle name="Note 4 12 2 2" xfId="22968" xr:uid="{00000000-0005-0000-0000-0000EB670000}"/>
    <cellStyle name="Note 4 12 2 3" xfId="22967" xr:uid="{00000000-0005-0000-0000-0000EC670000}"/>
    <cellStyle name="Note 4 12 3" xfId="22969" xr:uid="{00000000-0005-0000-0000-0000ED670000}"/>
    <cellStyle name="Note 4 12 3 2" xfId="22970" xr:uid="{00000000-0005-0000-0000-0000EE670000}"/>
    <cellStyle name="Note 4 12 4" xfId="22971" xr:uid="{00000000-0005-0000-0000-0000EF670000}"/>
    <cellStyle name="Note 4 12 4 2" xfId="22972" xr:uid="{00000000-0005-0000-0000-0000F0670000}"/>
    <cellStyle name="Note 4 12 5" xfId="22973" xr:uid="{00000000-0005-0000-0000-0000F1670000}"/>
    <cellStyle name="Note 4 12 6" xfId="22966" xr:uid="{00000000-0005-0000-0000-0000F2670000}"/>
    <cellStyle name="Note 4 13" xfId="5106" xr:uid="{00000000-0005-0000-0000-0000F3670000}"/>
    <cellStyle name="Note 4 13 2" xfId="22975" xr:uid="{00000000-0005-0000-0000-0000F4670000}"/>
    <cellStyle name="Note 4 13 2 2" xfId="22976" xr:uid="{00000000-0005-0000-0000-0000F5670000}"/>
    <cellStyle name="Note 4 13 3" xfId="22977" xr:uid="{00000000-0005-0000-0000-0000F6670000}"/>
    <cellStyle name="Note 4 13 3 2" xfId="22978" xr:uid="{00000000-0005-0000-0000-0000F7670000}"/>
    <cellStyle name="Note 4 13 4" xfId="22979" xr:uid="{00000000-0005-0000-0000-0000F8670000}"/>
    <cellStyle name="Note 4 13 5" xfId="22974" xr:uid="{00000000-0005-0000-0000-0000F9670000}"/>
    <cellStyle name="Note 4 14" xfId="5099" xr:uid="{00000000-0005-0000-0000-0000FA670000}"/>
    <cellStyle name="Note 4 14 2" xfId="22981" xr:uid="{00000000-0005-0000-0000-0000FB670000}"/>
    <cellStyle name="Note 4 14 2 2" xfId="22982" xr:uid="{00000000-0005-0000-0000-0000FC670000}"/>
    <cellStyle name="Note 4 14 3" xfId="22983" xr:uid="{00000000-0005-0000-0000-0000FD670000}"/>
    <cellStyle name="Note 4 14 3 2" xfId="22984" xr:uid="{00000000-0005-0000-0000-0000FE670000}"/>
    <cellStyle name="Note 4 14 4" xfId="22985" xr:uid="{00000000-0005-0000-0000-0000FF670000}"/>
    <cellStyle name="Note 4 14 5" xfId="22980" xr:uid="{00000000-0005-0000-0000-000000680000}"/>
    <cellStyle name="Note 4 15" xfId="22986" xr:uid="{00000000-0005-0000-0000-000001680000}"/>
    <cellStyle name="Note 4 15 2" xfId="22987" xr:uid="{00000000-0005-0000-0000-000002680000}"/>
    <cellStyle name="Note 4 16" xfId="22988" xr:uid="{00000000-0005-0000-0000-000003680000}"/>
    <cellStyle name="Note 4 16 2" xfId="22989" xr:uid="{00000000-0005-0000-0000-000004680000}"/>
    <cellStyle name="Note 4 17" xfId="22990" xr:uid="{00000000-0005-0000-0000-000005680000}"/>
    <cellStyle name="Note 4 17 2" xfId="22991" xr:uid="{00000000-0005-0000-0000-000006680000}"/>
    <cellStyle name="Note 4 18" xfId="22992" xr:uid="{00000000-0005-0000-0000-000007680000}"/>
    <cellStyle name="Note 4 18 2" xfId="22993" xr:uid="{00000000-0005-0000-0000-000008680000}"/>
    <cellStyle name="Note 4 18 2 2" xfId="22994" xr:uid="{00000000-0005-0000-0000-000009680000}"/>
    <cellStyle name="Note 4 18 3" xfId="22995" xr:uid="{00000000-0005-0000-0000-00000A680000}"/>
    <cellStyle name="Note 4 18 3 2" xfId="22996" xr:uid="{00000000-0005-0000-0000-00000B680000}"/>
    <cellStyle name="Note 4 18 4" xfId="22997" xr:uid="{00000000-0005-0000-0000-00000C680000}"/>
    <cellStyle name="Note 4 19" xfId="22998" xr:uid="{00000000-0005-0000-0000-00000D680000}"/>
    <cellStyle name="Note 4 19 2" xfId="22999" xr:uid="{00000000-0005-0000-0000-00000E680000}"/>
    <cellStyle name="Note 4 2" xfId="1529" xr:uid="{00000000-0005-0000-0000-00000F680000}"/>
    <cellStyle name="Note 4 2 10" xfId="23001" xr:uid="{00000000-0005-0000-0000-000010680000}"/>
    <cellStyle name="Note 4 2 10 2" xfId="23002" xr:uid="{00000000-0005-0000-0000-000011680000}"/>
    <cellStyle name="Note 4 2 10 2 2" xfId="23003" xr:uid="{00000000-0005-0000-0000-000012680000}"/>
    <cellStyle name="Note 4 2 10 3" xfId="23004" xr:uid="{00000000-0005-0000-0000-000013680000}"/>
    <cellStyle name="Note 4 2 10 3 2" xfId="23005" xr:uid="{00000000-0005-0000-0000-000014680000}"/>
    <cellStyle name="Note 4 2 10 4" xfId="23006" xr:uid="{00000000-0005-0000-0000-000015680000}"/>
    <cellStyle name="Note 4 2 11" xfId="23007" xr:uid="{00000000-0005-0000-0000-000016680000}"/>
    <cellStyle name="Note 4 2 11 2" xfId="23008" xr:uid="{00000000-0005-0000-0000-000017680000}"/>
    <cellStyle name="Note 4 2 11 2 2" xfId="23009" xr:uid="{00000000-0005-0000-0000-000018680000}"/>
    <cellStyle name="Note 4 2 11 3" xfId="23010" xr:uid="{00000000-0005-0000-0000-000019680000}"/>
    <cellStyle name="Note 4 2 11 3 2" xfId="23011" xr:uid="{00000000-0005-0000-0000-00001A680000}"/>
    <cellStyle name="Note 4 2 11 4" xfId="23012" xr:uid="{00000000-0005-0000-0000-00001B680000}"/>
    <cellStyle name="Note 4 2 12" xfId="23013" xr:uid="{00000000-0005-0000-0000-00001C680000}"/>
    <cellStyle name="Note 4 2 12 2" xfId="23014" xr:uid="{00000000-0005-0000-0000-00001D680000}"/>
    <cellStyle name="Note 4 2 12 2 2" xfId="23015" xr:uid="{00000000-0005-0000-0000-00001E680000}"/>
    <cellStyle name="Note 4 2 12 3" xfId="23016" xr:uid="{00000000-0005-0000-0000-00001F680000}"/>
    <cellStyle name="Note 4 2 12 3 2" xfId="23017" xr:uid="{00000000-0005-0000-0000-000020680000}"/>
    <cellStyle name="Note 4 2 12 4" xfId="23018" xr:uid="{00000000-0005-0000-0000-000021680000}"/>
    <cellStyle name="Note 4 2 13" xfId="23019" xr:uid="{00000000-0005-0000-0000-000022680000}"/>
    <cellStyle name="Note 4 2 13 2" xfId="23020" xr:uid="{00000000-0005-0000-0000-000023680000}"/>
    <cellStyle name="Note 4 2 14" xfId="23021" xr:uid="{00000000-0005-0000-0000-000024680000}"/>
    <cellStyle name="Note 4 2 14 2" xfId="23022" xr:uid="{00000000-0005-0000-0000-000025680000}"/>
    <cellStyle name="Note 4 2 15" xfId="23023" xr:uid="{00000000-0005-0000-0000-000026680000}"/>
    <cellStyle name="Note 4 2 15 2" xfId="23024" xr:uid="{00000000-0005-0000-0000-000027680000}"/>
    <cellStyle name="Note 4 2 16" xfId="23025" xr:uid="{00000000-0005-0000-0000-000028680000}"/>
    <cellStyle name="Note 4 2 17" xfId="23000" xr:uid="{00000000-0005-0000-0000-000029680000}"/>
    <cellStyle name="Note 4 2 2" xfId="23026" xr:uid="{00000000-0005-0000-0000-00002A680000}"/>
    <cellStyle name="Note 4 2 2 2" xfId="23027" xr:uid="{00000000-0005-0000-0000-00002B680000}"/>
    <cellStyle name="Note 4 2 2 2 2" xfId="23028" xr:uid="{00000000-0005-0000-0000-00002C680000}"/>
    <cellStyle name="Note 4 2 2 3" xfId="23029" xr:uid="{00000000-0005-0000-0000-00002D680000}"/>
    <cellStyle name="Note 4 2 2 3 2" xfId="23030" xr:uid="{00000000-0005-0000-0000-00002E680000}"/>
    <cellStyle name="Note 4 2 2 4" xfId="23031" xr:uid="{00000000-0005-0000-0000-00002F680000}"/>
    <cellStyle name="Note 4 2 3" xfId="23032" xr:uid="{00000000-0005-0000-0000-000030680000}"/>
    <cellStyle name="Note 4 2 3 2" xfId="23033" xr:uid="{00000000-0005-0000-0000-000031680000}"/>
    <cellStyle name="Note 4 2 3 2 2" xfId="23034" xr:uid="{00000000-0005-0000-0000-000032680000}"/>
    <cellStyle name="Note 4 2 3 3" xfId="23035" xr:uid="{00000000-0005-0000-0000-000033680000}"/>
    <cellStyle name="Note 4 2 3 3 2" xfId="23036" xr:uid="{00000000-0005-0000-0000-000034680000}"/>
    <cellStyle name="Note 4 2 3 4" xfId="23037" xr:uid="{00000000-0005-0000-0000-000035680000}"/>
    <cellStyle name="Note 4 2 4" xfId="23038" xr:uid="{00000000-0005-0000-0000-000036680000}"/>
    <cellStyle name="Note 4 2 4 2" xfId="23039" xr:uid="{00000000-0005-0000-0000-000037680000}"/>
    <cellStyle name="Note 4 2 4 2 2" xfId="23040" xr:uid="{00000000-0005-0000-0000-000038680000}"/>
    <cellStyle name="Note 4 2 4 3" xfId="23041" xr:uid="{00000000-0005-0000-0000-000039680000}"/>
    <cellStyle name="Note 4 2 4 3 2" xfId="23042" xr:uid="{00000000-0005-0000-0000-00003A680000}"/>
    <cellStyle name="Note 4 2 4 4" xfId="23043" xr:uid="{00000000-0005-0000-0000-00003B680000}"/>
    <cellStyle name="Note 4 2 5" xfId="23044" xr:uid="{00000000-0005-0000-0000-00003C680000}"/>
    <cellStyle name="Note 4 2 5 2" xfId="23045" xr:uid="{00000000-0005-0000-0000-00003D680000}"/>
    <cellStyle name="Note 4 2 5 2 2" xfId="23046" xr:uid="{00000000-0005-0000-0000-00003E680000}"/>
    <cellStyle name="Note 4 2 5 3" xfId="23047" xr:uid="{00000000-0005-0000-0000-00003F680000}"/>
    <cellStyle name="Note 4 2 5 3 2" xfId="23048" xr:uid="{00000000-0005-0000-0000-000040680000}"/>
    <cellStyle name="Note 4 2 5 4" xfId="23049" xr:uid="{00000000-0005-0000-0000-000041680000}"/>
    <cellStyle name="Note 4 2 6" xfId="23050" xr:uid="{00000000-0005-0000-0000-000042680000}"/>
    <cellStyle name="Note 4 2 6 2" xfId="23051" xr:uid="{00000000-0005-0000-0000-000043680000}"/>
    <cellStyle name="Note 4 2 6 2 2" xfId="23052" xr:uid="{00000000-0005-0000-0000-000044680000}"/>
    <cellStyle name="Note 4 2 6 3" xfId="23053" xr:uid="{00000000-0005-0000-0000-000045680000}"/>
    <cellStyle name="Note 4 2 6 3 2" xfId="23054" xr:uid="{00000000-0005-0000-0000-000046680000}"/>
    <cellStyle name="Note 4 2 6 4" xfId="23055" xr:uid="{00000000-0005-0000-0000-000047680000}"/>
    <cellStyle name="Note 4 2 7" xfId="23056" xr:uid="{00000000-0005-0000-0000-000048680000}"/>
    <cellStyle name="Note 4 2 7 2" xfId="23057" xr:uid="{00000000-0005-0000-0000-000049680000}"/>
    <cellStyle name="Note 4 2 7 2 2" xfId="23058" xr:uid="{00000000-0005-0000-0000-00004A680000}"/>
    <cellStyle name="Note 4 2 7 3" xfId="23059" xr:uid="{00000000-0005-0000-0000-00004B680000}"/>
    <cellStyle name="Note 4 2 7 3 2" xfId="23060" xr:uid="{00000000-0005-0000-0000-00004C680000}"/>
    <cellStyle name="Note 4 2 7 4" xfId="23061" xr:uid="{00000000-0005-0000-0000-00004D680000}"/>
    <cellStyle name="Note 4 2 8" xfId="23062" xr:uid="{00000000-0005-0000-0000-00004E680000}"/>
    <cellStyle name="Note 4 2 8 2" xfId="23063" xr:uid="{00000000-0005-0000-0000-00004F680000}"/>
    <cellStyle name="Note 4 2 8 2 2" xfId="23064" xr:uid="{00000000-0005-0000-0000-000050680000}"/>
    <cellStyle name="Note 4 2 8 3" xfId="23065" xr:uid="{00000000-0005-0000-0000-000051680000}"/>
    <cellStyle name="Note 4 2 8 3 2" xfId="23066" xr:uid="{00000000-0005-0000-0000-000052680000}"/>
    <cellStyle name="Note 4 2 8 4" xfId="23067" xr:uid="{00000000-0005-0000-0000-000053680000}"/>
    <cellStyle name="Note 4 2 9" xfId="23068" xr:uid="{00000000-0005-0000-0000-000054680000}"/>
    <cellStyle name="Note 4 2 9 2" xfId="23069" xr:uid="{00000000-0005-0000-0000-000055680000}"/>
    <cellStyle name="Note 4 2 9 2 2" xfId="23070" xr:uid="{00000000-0005-0000-0000-000056680000}"/>
    <cellStyle name="Note 4 2 9 3" xfId="23071" xr:uid="{00000000-0005-0000-0000-000057680000}"/>
    <cellStyle name="Note 4 2 9 3 2" xfId="23072" xr:uid="{00000000-0005-0000-0000-000058680000}"/>
    <cellStyle name="Note 4 2 9 4" xfId="23073" xr:uid="{00000000-0005-0000-0000-000059680000}"/>
    <cellStyle name="Note 4 20" xfId="23074" xr:uid="{00000000-0005-0000-0000-00005A680000}"/>
    <cellStyle name="Note 4 20 2" xfId="23075" xr:uid="{00000000-0005-0000-0000-00005B680000}"/>
    <cellStyle name="Note 4 21" xfId="23076" xr:uid="{00000000-0005-0000-0000-00005C680000}"/>
    <cellStyle name="Note 4 21 2" xfId="23077" xr:uid="{00000000-0005-0000-0000-00005D680000}"/>
    <cellStyle name="Note 4 22" xfId="23078" xr:uid="{00000000-0005-0000-0000-00005E680000}"/>
    <cellStyle name="Note 4 23" xfId="22935" xr:uid="{00000000-0005-0000-0000-00005F680000}"/>
    <cellStyle name="Note 4 3" xfId="1654" xr:uid="{00000000-0005-0000-0000-000060680000}"/>
    <cellStyle name="Note 4 3 2" xfId="23080" xr:uid="{00000000-0005-0000-0000-000061680000}"/>
    <cellStyle name="Note 4 3 2 2" xfId="23081" xr:uid="{00000000-0005-0000-0000-000062680000}"/>
    <cellStyle name="Note 4 3 2 2 2" xfId="23082" xr:uid="{00000000-0005-0000-0000-000063680000}"/>
    <cellStyle name="Note 4 3 2 3" xfId="23083" xr:uid="{00000000-0005-0000-0000-000064680000}"/>
    <cellStyle name="Note 4 3 2 3 2" xfId="23084" xr:uid="{00000000-0005-0000-0000-000065680000}"/>
    <cellStyle name="Note 4 3 2 4" xfId="23085" xr:uid="{00000000-0005-0000-0000-000066680000}"/>
    <cellStyle name="Note 4 3 3" xfId="23086" xr:uid="{00000000-0005-0000-0000-000067680000}"/>
    <cellStyle name="Note 4 3 3 2" xfId="23087" xr:uid="{00000000-0005-0000-0000-000068680000}"/>
    <cellStyle name="Note 4 3 4" xfId="23088" xr:uid="{00000000-0005-0000-0000-000069680000}"/>
    <cellStyle name="Note 4 3 4 2" xfId="23089" xr:uid="{00000000-0005-0000-0000-00006A680000}"/>
    <cellStyle name="Note 4 3 5" xfId="23090" xr:uid="{00000000-0005-0000-0000-00006B680000}"/>
    <cellStyle name="Note 4 3 5 2" xfId="23091" xr:uid="{00000000-0005-0000-0000-00006C680000}"/>
    <cellStyle name="Note 4 3 6" xfId="23092" xr:uid="{00000000-0005-0000-0000-00006D680000}"/>
    <cellStyle name="Note 4 3 7" xfId="23079" xr:uid="{00000000-0005-0000-0000-00006E680000}"/>
    <cellStyle name="Note 4 4" xfId="1768" xr:uid="{00000000-0005-0000-0000-00006F680000}"/>
    <cellStyle name="Note 4 4 2" xfId="23094" xr:uid="{00000000-0005-0000-0000-000070680000}"/>
    <cellStyle name="Note 4 4 2 2" xfId="23095" xr:uid="{00000000-0005-0000-0000-000071680000}"/>
    <cellStyle name="Note 4 4 2 2 2" xfId="23096" xr:uid="{00000000-0005-0000-0000-000072680000}"/>
    <cellStyle name="Note 4 4 2 3" xfId="23097" xr:uid="{00000000-0005-0000-0000-000073680000}"/>
    <cellStyle name="Note 4 4 2 3 2" xfId="23098" xr:uid="{00000000-0005-0000-0000-000074680000}"/>
    <cellStyle name="Note 4 4 2 4" xfId="23099" xr:uid="{00000000-0005-0000-0000-000075680000}"/>
    <cellStyle name="Note 4 4 3" xfId="23100" xr:uid="{00000000-0005-0000-0000-000076680000}"/>
    <cellStyle name="Note 4 4 3 2" xfId="23101" xr:uid="{00000000-0005-0000-0000-000077680000}"/>
    <cellStyle name="Note 4 4 4" xfId="23102" xr:uid="{00000000-0005-0000-0000-000078680000}"/>
    <cellStyle name="Note 4 4 4 2" xfId="23103" xr:uid="{00000000-0005-0000-0000-000079680000}"/>
    <cellStyle name="Note 4 4 5" xfId="23104" xr:uid="{00000000-0005-0000-0000-00007A680000}"/>
    <cellStyle name="Note 4 4 5 2" xfId="23105" xr:uid="{00000000-0005-0000-0000-00007B680000}"/>
    <cellStyle name="Note 4 4 6" xfId="23106" xr:uid="{00000000-0005-0000-0000-00007C680000}"/>
    <cellStyle name="Note 4 4 7" xfId="23093" xr:uid="{00000000-0005-0000-0000-00007D680000}"/>
    <cellStyle name="Note 4 5" xfId="2103" xr:uid="{00000000-0005-0000-0000-00007E680000}"/>
    <cellStyle name="Note 4 5 2" xfId="23108" xr:uid="{00000000-0005-0000-0000-00007F680000}"/>
    <cellStyle name="Note 4 5 2 2" xfId="23109" xr:uid="{00000000-0005-0000-0000-000080680000}"/>
    <cellStyle name="Note 4 5 3" xfId="23110" xr:uid="{00000000-0005-0000-0000-000081680000}"/>
    <cellStyle name="Note 4 5 3 2" xfId="23111" xr:uid="{00000000-0005-0000-0000-000082680000}"/>
    <cellStyle name="Note 4 5 4" xfId="23112" xr:uid="{00000000-0005-0000-0000-000083680000}"/>
    <cellStyle name="Note 4 5 4 2" xfId="23113" xr:uid="{00000000-0005-0000-0000-000084680000}"/>
    <cellStyle name="Note 4 5 5" xfId="23114" xr:uid="{00000000-0005-0000-0000-000085680000}"/>
    <cellStyle name="Note 4 5 6" xfId="23107" xr:uid="{00000000-0005-0000-0000-000086680000}"/>
    <cellStyle name="Note 4 6" xfId="2477" xr:uid="{00000000-0005-0000-0000-000087680000}"/>
    <cellStyle name="Note 4 6 2" xfId="23116" xr:uid="{00000000-0005-0000-0000-000088680000}"/>
    <cellStyle name="Note 4 6 2 2" xfId="23117" xr:uid="{00000000-0005-0000-0000-000089680000}"/>
    <cellStyle name="Note 4 6 3" xfId="23118" xr:uid="{00000000-0005-0000-0000-00008A680000}"/>
    <cellStyle name="Note 4 6 3 2" xfId="23119" xr:uid="{00000000-0005-0000-0000-00008B680000}"/>
    <cellStyle name="Note 4 6 4" xfId="23120" xr:uid="{00000000-0005-0000-0000-00008C680000}"/>
    <cellStyle name="Note 4 6 4 2" xfId="23121" xr:uid="{00000000-0005-0000-0000-00008D680000}"/>
    <cellStyle name="Note 4 6 5" xfId="23122" xr:uid="{00000000-0005-0000-0000-00008E680000}"/>
    <cellStyle name="Note 4 6 6" xfId="23115" xr:uid="{00000000-0005-0000-0000-00008F680000}"/>
    <cellStyle name="Note 4 7" xfId="2849" xr:uid="{00000000-0005-0000-0000-000090680000}"/>
    <cellStyle name="Note 4 7 2" xfId="23124" xr:uid="{00000000-0005-0000-0000-000091680000}"/>
    <cellStyle name="Note 4 7 2 2" xfId="23125" xr:uid="{00000000-0005-0000-0000-000092680000}"/>
    <cellStyle name="Note 4 7 3" xfId="23126" xr:uid="{00000000-0005-0000-0000-000093680000}"/>
    <cellStyle name="Note 4 7 3 2" xfId="23127" xr:uid="{00000000-0005-0000-0000-000094680000}"/>
    <cellStyle name="Note 4 7 4" xfId="23128" xr:uid="{00000000-0005-0000-0000-000095680000}"/>
    <cellStyle name="Note 4 7 4 2" xfId="23129" xr:uid="{00000000-0005-0000-0000-000096680000}"/>
    <cellStyle name="Note 4 7 5" xfId="23130" xr:uid="{00000000-0005-0000-0000-000097680000}"/>
    <cellStyle name="Note 4 7 6" xfId="23123" xr:uid="{00000000-0005-0000-0000-000098680000}"/>
    <cellStyle name="Note 4 8" xfId="3220" xr:uid="{00000000-0005-0000-0000-000099680000}"/>
    <cellStyle name="Note 4 8 2" xfId="23132" xr:uid="{00000000-0005-0000-0000-00009A680000}"/>
    <cellStyle name="Note 4 8 2 2" xfId="23133" xr:uid="{00000000-0005-0000-0000-00009B680000}"/>
    <cellStyle name="Note 4 8 3" xfId="23134" xr:uid="{00000000-0005-0000-0000-00009C680000}"/>
    <cellStyle name="Note 4 8 3 2" xfId="23135" xr:uid="{00000000-0005-0000-0000-00009D680000}"/>
    <cellStyle name="Note 4 8 4" xfId="23136" xr:uid="{00000000-0005-0000-0000-00009E680000}"/>
    <cellStyle name="Note 4 8 4 2" xfId="23137" xr:uid="{00000000-0005-0000-0000-00009F680000}"/>
    <cellStyle name="Note 4 8 5" xfId="23138" xr:uid="{00000000-0005-0000-0000-0000A0680000}"/>
    <cellStyle name="Note 4 8 6" xfId="23131" xr:uid="{00000000-0005-0000-0000-0000A1680000}"/>
    <cellStyle name="Note 4 9" xfId="3618" xr:uid="{00000000-0005-0000-0000-0000A2680000}"/>
    <cellStyle name="Note 4 9 2" xfId="23140" xr:uid="{00000000-0005-0000-0000-0000A3680000}"/>
    <cellStyle name="Note 4 9 2 2" xfId="23141" xr:uid="{00000000-0005-0000-0000-0000A4680000}"/>
    <cellStyle name="Note 4 9 3" xfId="23142" xr:uid="{00000000-0005-0000-0000-0000A5680000}"/>
    <cellStyle name="Note 4 9 3 2" xfId="23143" xr:uid="{00000000-0005-0000-0000-0000A6680000}"/>
    <cellStyle name="Note 4 9 4" xfId="23144" xr:uid="{00000000-0005-0000-0000-0000A7680000}"/>
    <cellStyle name="Note 4 9 4 2" xfId="23145" xr:uid="{00000000-0005-0000-0000-0000A8680000}"/>
    <cellStyle name="Note 4 9 5" xfId="23146" xr:uid="{00000000-0005-0000-0000-0000A9680000}"/>
    <cellStyle name="Note 4 9 6" xfId="23139" xr:uid="{00000000-0005-0000-0000-0000AA680000}"/>
    <cellStyle name="Note 5" xfId="503" xr:uid="{00000000-0005-0000-0000-0000AB680000}"/>
    <cellStyle name="Note 5 10" xfId="23148" xr:uid="{00000000-0005-0000-0000-0000AC680000}"/>
    <cellStyle name="Note 5 10 2" xfId="23149" xr:uid="{00000000-0005-0000-0000-0000AD680000}"/>
    <cellStyle name="Note 5 10 2 2" xfId="23150" xr:uid="{00000000-0005-0000-0000-0000AE680000}"/>
    <cellStyle name="Note 5 10 3" xfId="23151" xr:uid="{00000000-0005-0000-0000-0000AF680000}"/>
    <cellStyle name="Note 5 10 3 2" xfId="23152" xr:uid="{00000000-0005-0000-0000-0000B0680000}"/>
    <cellStyle name="Note 5 10 4" xfId="23153" xr:uid="{00000000-0005-0000-0000-0000B1680000}"/>
    <cellStyle name="Note 5 11" xfId="23154" xr:uid="{00000000-0005-0000-0000-0000B2680000}"/>
    <cellStyle name="Note 5 11 2" xfId="23155" xr:uid="{00000000-0005-0000-0000-0000B3680000}"/>
    <cellStyle name="Note 5 11 2 2" xfId="23156" xr:uid="{00000000-0005-0000-0000-0000B4680000}"/>
    <cellStyle name="Note 5 11 3" xfId="23157" xr:uid="{00000000-0005-0000-0000-0000B5680000}"/>
    <cellStyle name="Note 5 11 3 2" xfId="23158" xr:uid="{00000000-0005-0000-0000-0000B6680000}"/>
    <cellStyle name="Note 5 11 4" xfId="23159" xr:uid="{00000000-0005-0000-0000-0000B7680000}"/>
    <cellStyle name="Note 5 12" xfId="23160" xr:uid="{00000000-0005-0000-0000-0000B8680000}"/>
    <cellStyle name="Note 5 12 2" xfId="23161" xr:uid="{00000000-0005-0000-0000-0000B9680000}"/>
    <cellStyle name="Note 5 12 2 2" xfId="23162" xr:uid="{00000000-0005-0000-0000-0000BA680000}"/>
    <cellStyle name="Note 5 12 3" xfId="23163" xr:uid="{00000000-0005-0000-0000-0000BB680000}"/>
    <cellStyle name="Note 5 12 3 2" xfId="23164" xr:uid="{00000000-0005-0000-0000-0000BC680000}"/>
    <cellStyle name="Note 5 12 4" xfId="23165" xr:uid="{00000000-0005-0000-0000-0000BD680000}"/>
    <cellStyle name="Note 5 13" xfId="23166" xr:uid="{00000000-0005-0000-0000-0000BE680000}"/>
    <cellStyle name="Note 5 13 2" xfId="23167" xr:uid="{00000000-0005-0000-0000-0000BF680000}"/>
    <cellStyle name="Note 5 13 2 2" xfId="23168" xr:uid="{00000000-0005-0000-0000-0000C0680000}"/>
    <cellStyle name="Note 5 13 3" xfId="23169" xr:uid="{00000000-0005-0000-0000-0000C1680000}"/>
    <cellStyle name="Note 5 13 3 2" xfId="23170" xr:uid="{00000000-0005-0000-0000-0000C2680000}"/>
    <cellStyle name="Note 5 13 4" xfId="23171" xr:uid="{00000000-0005-0000-0000-0000C3680000}"/>
    <cellStyle name="Note 5 14" xfId="23172" xr:uid="{00000000-0005-0000-0000-0000C4680000}"/>
    <cellStyle name="Note 5 14 2" xfId="23173" xr:uid="{00000000-0005-0000-0000-0000C5680000}"/>
    <cellStyle name="Note 5 14 2 2" xfId="23174" xr:uid="{00000000-0005-0000-0000-0000C6680000}"/>
    <cellStyle name="Note 5 14 3" xfId="23175" xr:uid="{00000000-0005-0000-0000-0000C7680000}"/>
    <cellStyle name="Note 5 14 3 2" xfId="23176" xr:uid="{00000000-0005-0000-0000-0000C8680000}"/>
    <cellStyle name="Note 5 14 4" xfId="23177" xr:uid="{00000000-0005-0000-0000-0000C9680000}"/>
    <cellStyle name="Note 5 15" xfId="23178" xr:uid="{00000000-0005-0000-0000-0000CA680000}"/>
    <cellStyle name="Note 5 15 2" xfId="23179" xr:uid="{00000000-0005-0000-0000-0000CB680000}"/>
    <cellStyle name="Note 5 16" xfId="23180" xr:uid="{00000000-0005-0000-0000-0000CC680000}"/>
    <cellStyle name="Note 5 16 2" xfId="23181" xr:uid="{00000000-0005-0000-0000-0000CD680000}"/>
    <cellStyle name="Note 5 17" xfId="23182" xr:uid="{00000000-0005-0000-0000-0000CE680000}"/>
    <cellStyle name="Note 5 17 2" xfId="23183" xr:uid="{00000000-0005-0000-0000-0000CF680000}"/>
    <cellStyle name="Note 5 18" xfId="23184" xr:uid="{00000000-0005-0000-0000-0000D0680000}"/>
    <cellStyle name="Note 5 19" xfId="23147" xr:uid="{00000000-0005-0000-0000-0000D1680000}"/>
    <cellStyle name="Note 5 2" xfId="23185" xr:uid="{00000000-0005-0000-0000-0000D2680000}"/>
    <cellStyle name="Note 5 2 10" xfId="23186" xr:uid="{00000000-0005-0000-0000-0000D3680000}"/>
    <cellStyle name="Note 5 2 10 2" xfId="23187" xr:uid="{00000000-0005-0000-0000-0000D4680000}"/>
    <cellStyle name="Note 5 2 10 2 2" xfId="23188" xr:uid="{00000000-0005-0000-0000-0000D5680000}"/>
    <cellStyle name="Note 5 2 10 3" xfId="23189" xr:uid="{00000000-0005-0000-0000-0000D6680000}"/>
    <cellStyle name="Note 5 2 10 3 2" xfId="23190" xr:uid="{00000000-0005-0000-0000-0000D7680000}"/>
    <cellStyle name="Note 5 2 10 4" xfId="23191" xr:uid="{00000000-0005-0000-0000-0000D8680000}"/>
    <cellStyle name="Note 5 2 11" xfId="23192" xr:uid="{00000000-0005-0000-0000-0000D9680000}"/>
    <cellStyle name="Note 5 2 11 2" xfId="23193" xr:uid="{00000000-0005-0000-0000-0000DA680000}"/>
    <cellStyle name="Note 5 2 11 2 2" xfId="23194" xr:uid="{00000000-0005-0000-0000-0000DB680000}"/>
    <cellStyle name="Note 5 2 11 3" xfId="23195" xr:uid="{00000000-0005-0000-0000-0000DC680000}"/>
    <cellStyle name="Note 5 2 11 3 2" xfId="23196" xr:uid="{00000000-0005-0000-0000-0000DD680000}"/>
    <cellStyle name="Note 5 2 11 4" xfId="23197" xr:uid="{00000000-0005-0000-0000-0000DE680000}"/>
    <cellStyle name="Note 5 2 12" xfId="23198" xr:uid="{00000000-0005-0000-0000-0000DF680000}"/>
    <cellStyle name="Note 5 2 12 2" xfId="23199" xr:uid="{00000000-0005-0000-0000-0000E0680000}"/>
    <cellStyle name="Note 5 2 12 2 2" xfId="23200" xr:uid="{00000000-0005-0000-0000-0000E1680000}"/>
    <cellStyle name="Note 5 2 12 3" xfId="23201" xr:uid="{00000000-0005-0000-0000-0000E2680000}"/>
    <cellStyle name="Note 5 2 12 3 2" xfId="23202" xr:uid="{00000000-0005-0000-0000-0000E3680000}"/>
    <cellStyle name="Note 5 2 12 4" xfId="23203" xr:uid="{00000000-0005-0000-0000-0000E4680000}"/>
    <cellStyle name="Note 5 2 13" xfId="23204" xr:uid="{00000000-0005-0000-0000-0000E5680000}"/>
    <cellStyle name="Note 5 2 13 2" xfId="23205" xr:uid="{00000000-0005-0000-0000-0000E6680000}"/>
    <cellStyle name="Note 5 2 14" xfId="23206" xr:uid="{00000000-0005-0000-0000-0000E7680000}"/>
    <cellStyle name="Note 5 2 14 2" xfId="23207" xr:uid="{00000000-0005-0000-0000-0000E8680000}"/>
    <cellStyle name="Note 5 2 15" xfId="23208" xr:uid="{00000000-0005-0000-0000-0000E9680000}"/>
    <cellStyle name="Note 5 2 2" xfId="23209" xr:uid="{00000000-0005-0000-0000-0000EA680000}"/>
    <cellStyle name="Note 5 2 2 2" xfId="23210" xr:uid="{00000000-0005-0000-0000-0000EB680000}"/>
    <cellStyle name="Note 5 2 2 2 2" xfId="23211" xr:uid="{00000000-0005-0000-0000-0000EC680000}"/>
    <cellStyle name="Note 5 2 2 3" xfId="23212" xr:uid="{00000000-0005-0000-0000-0000ED680000}"/>
    <cellStyle name="Note 5 2 2 3 2" xfId="23213" xr:uid="{00000000-0005-0000-0000-0000EE680000}"/>
    <cellStyle name="Note 5 2 2 4" xfId="23214" xr:uid="{00000000-0005-0000-0000-0000EF680000}"/>
    <cellStyle name="Note 5 2 3" xfId="23215" xr:uid="{00000000-0005-0000-0000-0000F0680000}"/>
    <cellStyle name="Note 5 2 3 2" xfId="23216" xr:uid="{00000000-0005-0000-0000-0000F1680000}"/>
    <cellStyle name="Note 5 2 3 2 2" xfId="23217" xr:uid="{00000000-0005-0000-0000-0000F2680000}"/>
    <cellStyle name="Note 5 2 3 3" xfId="23218" xr:uid="{00000000-0005-0000-0000-0000F3680000}"/>
    <cellStyle name="Note 5 2 3 3 2" xfId="23219" xr:uid="{00000000-0005-0000-0000-0000F4680000}"/>
    <cellStyle name="Note 5 2 3 4" xfId="23220" xr:uid="{00000000-0005-0000-0000-0000F5680000}"/>
    <cellStyle name="Note 5 2 4" xfId="23221" xr:uid="{00000000-0005-0000-0000-0000F6680000}"/>
    <cellStyle name="Note 5 2 4 2" xfId="23222" xr:uid="{00000000-0005-0000-0000-0000F7680000}"/>
    <cellStyle name="Note 5 2 4 2 2" xfId="23223" xr:uid="{00000000-0005-0000-0000-0000F8680000}"/>
    <cellStyle name="Note 5 2 4 3" xfId="23224" xr:uid="{00000000-0005-0000-0000-0000F9680000}"/>
    <cellStyle name="Note 5 2 4 3 2" xfId="23225" xr:uid="{00000000-0005-0000-0000-0000FA680000}"/>
    <cellStyle name="Note 5 2 4 4" xfId="23226" xr:uid="{00000000-0005-0000-0000-0000FB680000}"/>
    <cellStyle name="Note 5 2 5" xfId="23227" xr:uid="{00000000-0005-0000-0000-0000FC680000}"/>
    <cellStyle name="Note 5 2 5 2" xfId="23228" xr:uid="{00000000-0005-0000-0000-0000FD680000}"/>
    <cellStyle name="Note 5 2 5 2 2" xfId="23229" xr:uid="{00000000-0005-0000-0000-0000FE680000}"/>
    <cellStyle name="Note 5 2 5 3" xfId="23230" xr:uid="{00000000-0005-0000-0000-0000FF680000}"/>
    <cellStyle name="Note 5 2 5 3 2" xfId="23231" xr:uid="{00000000-0005-0000-0000-000000690000}"/>
    <cellStyle name="Note 5 2 5 4" xfId="23232" xr:uid="{00000000-0005-0000-0000-000001690000}"/>
    <cellStyle name="Note 5 2 6" xfId="23233" xr:uid="{00000000-0005-0000-0000-000002690000}"/>
    <cellStyle name="Note 5 2 6 2" xfId="23234" xr:uid="{00000000-0005-0000-0000-000003690000}"/>
    <cellStyle name="Note 5 2 6 2 2" xfId="23235" xr:uid="{00000000-0005-0000-0000-000004690000}"/>
    <cellStyle name="Note 5 2 6 3" xfId="23236" xr:uid="{00000000-0005-0000-0000-000005690000}"/>
    <cellStyle name="Note 5 2 6 3 2" xfId="23237" xr:uid="{00000000-0005-0000-0000-000006690000}"/>
    <cellStyle name="Note 5 2 6 4" xfId="23238" xr:uid="{00000000-0005-0000-0000-000007690000}"/>
    <cellStyle name="Note 5 2 7" xfId="23239" xr:uid="{00000000-0005-0000-0000-000008690000}"/>
    <cellStyle name="Note 5 2 7 2" xfId="23240" xr:uid="{00000000-0005-0000-0000-000009690000}"/>
    <cellStyle name="Note 5 2 7 2 2" xfId="23241" xr:uid="{00000000-0005-0000-0000-00000A690000}"/>
    <cellStyle name="Note 5 2 7 3" xfId="23242" xr:uid="{00000000-0005-0000-0000-00000B690000}"/>
    <cellStyle name="Note 5 2 7 3 2" xfId="23243" xr:uid="{00000000-0005-0000-0000-00000C690000}"/>
    <cellStyle name="Note 5 2 7 4" xfId="23244" xr:uid="{00000000-0005-0000-0000-00000D690000}"/>
    <cellStyle name="Note 5 2 8" xfId="23245" xr:uid="{00000000-0005-0000-0000-00000E690000}"/>
    <cellStyle name="Note 5 2 8 2" xfId="23246" xr:uid="{00000000-0005-0000-0000-00000F690000}"/>
    <cellStyle name="Note 5 2 8 2 2" xfId="23247" xr:uid="{00000000-0005-0000-0000-000010690000}"/>
    <cellStyle name="Note 5 2 8 3" xfId="23248" xr:uid="{00000000-0005-0000-0000-000011690000}"/>
    <cellStyle name="Note 5 2 8 3 2" xfId="23249" xr:uid="{00000000-0005-0000-0000-000012690000}"/>
    <cellStyle name="Note 5 2 8 4" xfId="23250" xr:uid="{00000000-0005-0000-0000-000013690000}"/>
    <cellStyle name="Note 5 2 9" xfId="23251" xr:uid="{00000000-0005-0000-0000-000014690000}"/>
    <cellStyle name="Note 5 2 9 2" xfId="23252" xr:uid="{00000000-0005-0000-0000-000015690000}"/>
    <cellStyle name="Note 5 2 9 2 2" xfId="23253" xr:uid="{00000000-0005-0000-0000-000016690000}"/>
    <cellStyle name="Note 5 2 9 3" xfId="23254" xr:uid="{00000000-0005-0000-0000-000017690000}"/>
    <cellStyle name="Note 5 2 9 3 2" xfId="23255" xr:uid="{00000000-0005-0000-0000-000018690000}"/>
    <cellStyle name="Note 5 2 9 4" xfId="23256" xr:uid="{00000000-0005-0000-0000-000019690000}"/>
    <cellStyle name="Note 5 3" xfId="23257" xr:uid="{00000000-0005-0000-0000-00001A690000}"/>
    <cellStyle name="Note 5 3 2" xfId="23258" xr:uid="{00000000-0005-0000-0000-00001B690000}"/>
    <cellStyle name="Note 5 3 2 2" xfId="23259" xr:uid="{00000000-0005-0000-0000-00001C690000}"/>
    <cellStyle name="Note 5 3 2 2 2" xfId="23260" xr:uid="{00000000-0005-0000-0000-00001D690000}"/>
    <cellStyle name="Note 5 3 2 3" xfId="23261" xr:uid="{00000000-0005-0000-0000-00001E690000}"/>
    <cellStyle name="Note 5 3 2 3 2" xfId="23262" xr:uid="{00000000-0005-0000-0000-00001F690000}"/>
    <cellStyle name="Note 5 3 2 4" xfId="23263" xr:uid="{00000000-0005-0000-0000-000020690000}"/>
    <cellStyle name="Note 5 3 3" xfId="23264" xr:uid="{00000000-0005-0000-0000-000021690000}"/>
    <cellStyle name="Note 5 3 3 2" xfId="23265" xr:uid="{00000000-0005-0000-0000-000022690000}"/>
    <cellStyle name="Note 5 3 4" xfId="23266" xr:uid="{00000000-0005-0000-0000-000023690000}"/>
    <cellStyle name="Note 5 3 4 2" xfId="23267" xr:uid="{00000000-0005-0000-0000-000024690000}"/>
    <cellStyle name="Note 5 3 5" xfId="23268" xr:uid="{00000000-0005-0000-0000-000025690000}"/>
    <cellStyle name="Note 5 4" xfId="23269" xr:uid="{00000000-0005-0000-0000-000026690000}"/>
    <cellStyle name="Note 5 4 2" xfId="23270" xr:uid="{00000000-0005-0000-0000-000027690000}"/>
    <cellStyle name="Note 5 4 2 2" xfId="23271" xr:uid="{00000000-0005-0000-0000-000028690000}"/>
    <cellStyle name="Note 5 4 2 2 2" xfId="23272" xr:uid="{00000000-0005-0000-0000-000029690000}"/>
    <cellStyle name="Note 5 4 2 3" xfId="23273" xr:uid="{00000000-0005-0000-0000-00002A690000}"/>
    <cellStyle name="Note 5 4 2 3 2" xfId="23274" xr:uid="{00000000-0005-0000-0000-00002B690000}"/>
    <cellStyle name="Note 5 4 2 4" xfId="23275" xr:uid="{00000000-0005-0000-0000-00002C690000}"/>
    <cellStyle name="Note 5 4 3" xfId="23276" xr:uid="{00000000-0005-0000-0000-00002D690000}"/>
    <cellStyle name="Note 5 4 3 2" xfId="23277" xr:uid="{00000000-0005-0000-0000-00002E690000}"/>
    <cellStyle name="Note 5 4 4" xfId="23278" xr:uid="{00000000-0005-0000-0000-00002F690000}"/>
    <cellStyle name="Note 5 4 4 2" xfId="23279" xr:uid="{00000000-0005-0000-0000-000030690000}"/>
    <cellStyle name="Note 5 4 5" xfId="23280" xr:uid="{00000000-0005-0000-0000-000031690000}"/>
    <cellStyle name="Note 5 5" xfId="23281" xr:uid="{00000000-0005-0000-0000-000032690000}"/>
    <cellStyle name="Note 5 5 2" xfId="23282" xr:uid="{00000000-0005-0000-0000-000033690000}"/>
    <cellStyle name="Note 5 5 2 2" xfId="23283" xr:uid="{00000000-0005-0000-0000-000034690000}"/>
    <cellStyle name="Note 5 5 3" xfId="23284" xr:uid="{00000000-0005-0000-0000-000035690000}"/>
    <cellStyle name="Note 5 5 3 2" xfId="23285" xr:uid="{00000000-0005-0000-0000-000036690000}"/>
    <cellStyle name="Note 5 5 4" xfId="23286" xr:uid="{00000000-0005-0000-0000-000037690000}"/>
    <cellStyle name="Note 5 6" xfId="23287" xr:uid="{00000000-0005-0000-0000-000038690000}"/>
    <cellStyle name="Note 5 6 2" xfId="23288" xr:uid="{00000000-0005-0000-0000-000039690000}"/>
    <cellStyle name="Note 5 6 2 2" xfId="23289" xr:uid="{00000000-0005-0000-0000-00003A690000}"/>
    <cellStyle name="Note 5 6 3" xfId="23290" xr:uid="{00000000-0005-0000-0000-00003B690000}"/>
    <cellStyle name="Note 5 6 3 2" xfId="23291" xr:uid="{00000000-0005-0000-0000-00003C690000}"/>
    <cellStyle name="Note 5 6 4" xfId="23292" xr:uid="{00000000-0005-0000-0000-00003D690000}"/>
    <cellStyle name="Note 5 7" xfId="23293" xr:uid="{00000000-0005-0000-0000-00003E690000}"/>
    <cellStyle name="Note 5 7 2" xfId="23294" xr:uid="{00000000-0005-0000-0000-00003F690000}"/>
    <cellStyle name="Note 5 7 2 2" xfId="23295" xr:uid="{00000000-0005-0000-0000-000040690000}"/>
    <cellStyle name="Note 5 7 3" xfId="23296" xr:uid="{00000000-0005-0000-0000-000041690000}"/>
    <cellStyle name="Note 5 7 3 2" xfId="23297" xr:uid="{00000000-0005-0000-0000-000042690000}"/>
    <cellStyle name="Note 5 7 4" xfId="23298" xr:uid="{00000000-0005-0000-0000-000043690000}"/>
    <cellStyle name="Note 5 8" xfId="23299" xr:uid="{00000000-0005-0000-0000-000044690000}"/>
    <cellStyle name="Note 5 8 2" xfId="23300" xr:uid="{00000000-0005-0000-0000-000045690000}"/>
    <cellStyle name="Note 5 8 2 2" xfId="23301" xr:uid="{00000000-0005-0000-0000-000046690000}"/>
    <cellStyle name="Note 5 8 3" xfId="23302" xr:uid="{00000000-0005-0000-0000-000047690000}"/>
    <cellStyle name="Note 5 8 3 2" xfId="23303" xr:uid="{00000000-0005-0000-0000-000048690000}"/>
    <cellStyle name="Note 5 8 4" xfId="23304" xr:uid="{00000000-0005-0000-0000-000049690000}"/>
    <cellStyle name="Note 5 9" xfId="23305" xr:uid="{00000000-0005-0000-0000-00004A690000}"/>
    <cellStyle name="Note 5 9 2" xfId="23306" xr:uid="{00000000-0005-0000-0000-00004B690000}"/>
    <cellStyle name="Note 5 9 2 2" xfId="23307" xr:uid="{00000000-0005-0000-0000-00004C690000}"/>
    <cellStyle name="Note 5 9 3" xfId="23308" xr:uid="{00000000-0005-0000-0000-00004D690000}"/>
    <cellStyle name="Note 5 9 3 2" xfId="23309" xr:uid="{00000000-0005-0000-0000-00004E690000}"/>
    <cellStyle name="Note 5 9 4" xfId="23310" xr:uid="{00000000-0005-0000-0000-00004F690000}"/>
    <cellStyle name="Note 6" xfId="504" xr:uid="{00000000-0005-0000-0000-000050690000}"/>
    <cellStyle name="Note 6 10" xfId="5108" xr:uid="{00000000-0005-0000-0000-000051690000}"/>
    <cellStyle name="Note 6 10 2" xfId="23313" xr:uid="{00000000-0005-0000-0000-000052690000}"/>
    <cellStyle name="Note 6 10 2 2" xfId="23314" xr:uid="{00000000-0005-0000-0000-000053690000}"/>
    <cellStyle name="Note 6 10 3" xfId="23315" xr:uid="{00000000-0005-0000-0000-000054690000}"/>
    <cellStyle name="Note 6 10 3 2" xfId="23316" xr:uid="{00000000-0005-0000-0000-000055690000}"/>
    <cellStyle name="Note 6 10 4" xfId="23317" xr:uid="{00000000-0005-0000-0000-000056690000}"/>
    <cellStyle name="Note 6 10 5" xfId="23312" xr:uid="{00000000-0005-0000-0000-000057690000}"/>
    <cellStyle name="Note 6 11" xfId="5107" xr:uid="{00000000-0005-0000-0000-000058690000}"/>
    <cellStyle name="Note 6 11 2" xfId="23319" xr:uid="{00000000-0005-0000-0000-000059690000}"/>
    <cellStyle name="Note 6 11 2 2" xfId="23320" xr:uid="{00000000-0005-0000-0000-00005A690000}"/>
    <cellStyle name="Note 6 11 3" xfId="23321" xr:uid="{00000000-0005-0000-0000-00005B690000}"/>
    <cellStyle name="Note 6 11 3 2" xfId="23322" xr:uid="{00000000-0005-0000-0000-00005C690000}"/>
    <cellStyle name="Note 6 11 4" xfId="23323" xr:uid="{00000000-0005-0000-0000-00005D690000}"/>
    <cellStyle name="Note 6 11 5" xfId="23318" xr:uid="{00000000-0005-0000-0000-00005E690000}"/>
    <cellStyle name="Note 6 12" xfId="7090" xr:uid="{00000000-0005-0000-0000-00005F690000}"/>
    <cellStyle name="Note 6 12 2" xfId="23325" xr:uid="{00000000-0005-0000-0000-000060690000}"/>
    <cellStyle name="Note 6 12 2 2" xfId="23326" xr:uid="{00000000-0005-0000-0000-000061690000}"/>
    <cellStyle name="Note 6 12 3" xfId="23327" xr:uid="{00000000-0005-0000-0000-000062690000}"/>
    <cellStyle name="Note 6 12 3 2" xfId="23328" xr:uid="{00000000-0005-0000-0000-000063690000}"/>
    <cellStyle name="Note 6 12 4" xfId="23329" xr:uid="{00000000-0005-0000-0000-000064690000}"/>
    <cellStyle name="Note 6 12 5" xfId="23324" xr:uid="{00000000-0005-0000-0000-000065690000}"/>
    <cellStyle name="Note 6 12 6" xfId="28122" xr:uid="{00000000-0005-0000-0000-000066690000}"/>
    <cellStyle name="Note 6 13" xfId="23330" xr:uid="{00000000-0005-0000-0000-000067690000}"/>
    <cellStyle name="Note 6 13 2" xfId="23331" xr:uid="{00000000-0005-0000-0000-000068690000}"/>
    <cellStyle name="Note 6 13 2 2" xfId="23332" xr:uid="{00000000-0005-0000-0000-000069690000}"/>
    <cellStyle name="Note 6 13 3" xfId="23333" xr:uid="{00000000-0005-0000-0000-00006A690000}"/>
    <cellStyle name="Note 6 13 3 2" xfId="23334" xr:uid="{00000000-0005-0000-0000-00006B690000}"/>
    <cellStyle name="Note 6 13 4" xfId="23335" xr:uid="{00000000-0005-0000-0000-00006C690000}"/>
    <cellStyle name="Note 6 14" xfId="23336" xr:uid="{00000000-0005-0000-0000-00006D690000}"/>
    <cellStyle name="Note 6 14 2" xfId="23337" xr:uid="{00000000-0005-0000-0000-00006E690000}"/>
    <cellStyle name="Note 6 15" xfId="23338" xr:uid="{00000000-0005-0000-0000-00006F690000}"/>
    <cellStyle name="Note 6 15 2" xfId="23339" xr:uid="{00000000-0005-0000-0000-000070690000}"/>
    <cellStyle name="Note 6 16" xfId="23340" xr:uid="{00000000-0005-0000-0000-000071690000}"/>
    <cellStyle name="Note 6 16 2" xfId="23341" xr:uid="{00000000-0005-0000-0000-000072690000}"/>
    <cellStyle name="Note 6 17" xfId="23342" xr:uid="{00000000-0005-0000-0000-000073690000}"/>
    <cellStyle name="Note 6 17 2" xfId="23343" xr:uid="{00000000-0005-0000-0000-000074690000}"/>
    <cellStyle name="Note 6 17 2 2" xfId="23344" xr:uid="{00000000-0005-0000-0000-000075690000}"/>
    <cellStyle name="Note 6 17 3" xfId="23345" xr:uid="{00000000-0005-0000-0000-000076690000}"/>
    <cellStyle name="Note 6 17 3 2" xfId="23346" xr:uid="{00000000-0005-0000-0000-000077690000}"/>
    <cellStyle name="Note 6 17 4" xfId="23347" xr:uid="{00000000-0005-0000-0000-000078690000}"/>
    <cellStyle name="Note 6 18" xfId="23348" xr:uid="{00000000-0005-0000-0000-000079690000}"/>
    <cellStyle name="Note 6 18 2" xfId="23349" xr:uid="{00000000-0005-0000-0000-00007A690000}"/>
    <cellStyle name="Note 6 19" xfId="23350" xr:uid="{00000000-0005-0000-0000-00007B690000}"/>
    <cellStyle name="Note 6 19 2" xfId="23351" xr:uid="{00000000-0005-0000-0000-00007C690000}"/>
    <cellStyle name="Note 6 2" xfId="2005" xr:uid="{00000000-0005-0000-0000-00007D690000}"/>
    <cellStyle name="Note 6 2 10" xfId="23353" xr:uid="{00000000-0005-0000-0000-00007E690000}"/>
    <cellStyle name="Note 6 2 10 2" xfId="23354" xr:uid="{00000000-0005-0000-0000-00007F690000}"/>
    <cellStyle name="Note 6 2 10 2 2" xfId="23355" xr:uid="{00000000-0005-0000-0000-000080690000}"/>
    <cellStyle name="Note 6 2 10 3" xfId="23356" xr:uid="{00000000-0005-0000-0000-000081690000}"/>
    <cellStyle name="Note 6 2 10 3 2" xfId="23357" xr:uid="{00000000-0005-0000-0000-000082690000}"/>
    <cellStyle name="Note 6 2 10 4" xfId="23358" xr:uid="{00000000-0005-0000-0000-000083690000}"/>
    <cellStyle name="Note 6 2 11" xfId="23359" xr:uid="{00000000-0005-0000-0000-000084690000}"/>
    <cellStyle name="Note 6 2 11 2" xfId="23360" xr:uid="{00000000-0005-0000-0000-000085690000}"/>
    <cellStyle name="Note 6 2 11 2 2" xfId="23361" xr:uid="{00000000-0005-0000-0000-000086690000}"/>
    <cellStyle name="Note 6 2 11 3" xfId="23362" xr:uid="{00000000-0005-0000-0000-000087690000}"/>
    <cellStyle name="Note 6 2 11 3 2" xfId="23363" xr:uid="{00000000-0005-0000-0000-000088690000}"/>
    <cellStyle name="Note 6 2 11 4" xfId="23364" xr:uid="{00000000-0005-0000-0000-000089690000}"/>
    <cellStyle name="Note 6 2 12" xfId="23365" xr:uid="{00000000-0005-0000-0000-00008A690000}"/>
    <cellStyle name="Note 6 2 12 2" xfId="23366" xr:uid="{00000000-0005-0000-0000-00008B690000}"/>
    <cellStyle name="Note 6 2 12 2 2" xfId="23367" xr:uid="{00000000-0005-0000-0000-00008C690000}"/>
    <cellStyle name="Note 6 2 12 3" xfId="23368" xr:uid="{00000000-0005-0000-0000-00008D690000}"/>
    <cellStyle name="Note 6 2 12 3 2" xfId="23369" xr:uid="{00000000-0005-0000-0000-00008E690000}"/>
    <cellStyle name="Note 6 2 12 4" xfId="23370" xr:uid="{00000000-0005-0000-0000-00008F690000}"/>
    <cellStyle name="Note 6 2 13" xfId="23371" xr:uid="{00000000-0005-0000-0000-000090690000}"/>
    <cellStyle name="Note 6 2 13 2" xfId="23372" xr:uid="{00000000-0005-0000-0000-000091690000}"/>
    <cellStyle name="Note 6 2 14" xfId="23373" xr:uid="{00000000-0005-0000-0000-000092690000}"/>
    <cellStyle name="Note 6 2 14 2" xfId="23374" xr:uid="{00000000-0005-0000-0000-000093690000}"/>
    <cellStyle name="Note 6 2 15" xfId="23375" xr:uid="{00000000-0005-0000-0000-000094690000}"/>
    <cellStyle name="Note 6 2 15 2" xfId="23376" xr:uid="{00000000-0005-0000-0000-000095690000}"/>
    <cellStyle name="Note 6 2 16" xfId="23377" xr:uid="{00000000-0005-0000-0000-000096690000}"/>
    <cellStyle name="Note 6 2 17" xfId="23352" xr:uid="{00000000-0005-0000-0000-000097690000}"/>
    <cellStyle name="Note 6 2 2" xfId="23378" xr:uid="{00000000-0005-0000-0000-000098690000}"/>
    <cellStyle name="Note 6 2 2 2" xfId="23379" xr:uid="{00000000-0005-0000-0000-000099690000}"/>
    <cellStyle name="Note 6 2 2 2 2" xfId="23380" xr:uid="{00000000-0005-0000-0000-00009A690000}"/>
    <cellStyle name="Note 6 2 2 3" xfId="23381" xr:uid="{00000000-0005-0000-0000-00009B690000}"/>
    <cellStyle name="Note 6 2 2 3 2" xfId="23382" xr:uid="{00000000-0005-0000-0000-00009C690000}"/>
    <cellStyle name="Note 6 2 2 4" xfId="23383" xr:uid="{00000000-0005-0000-0000-00009D690000}"/>
    <cellStyle name="Note 6 2 3" xfId="23384" xr:uid="{00000000-0005-0000-0000-00009E690000}"/>
    <cellStyle name="Note 6 2 3 2" xfId="23385" xr:uid="{00000000-0005-0000-0000-00009F690000}"/>
    <cellStyle name="Note 6 2 3 2 2" xfId="23386" xr:uid="{00000000-0005-0000-0000-0000A0690000}"/>
    <cellStyle name="Note 6 2 3 3" xfId="23387" xr:uid="{00000000-0005-0000-0000-0000A1690000}"/>
    <cellStyle name="Note 6 2 3 3 2" xfId="23388" xr:uid="{00000000-0005-0000-0000-0000A2690000}"/>
    <cellStyle name="Note 6 2 3 4" xfId="23389" xr:uid="{00000000-0005-0000-0000-0000A3690000}"/>
    <cellStyle name="Note 6 2 4" xfId="23390" xr:uid="{00000000-0005-0000-0000-0000A4690000}"/>
    <cellStyle name="Note 6 2 4 2" xfId="23391" xr:uid="{00000000-0005-0000-0000-0000A5690000}"/>
    <cellStyle name="Note 6 2 4 2 2" xfId="23392" xr:uid="{00000000-0005-0000-0000-0000A6690000}"/>
    <cellStyle name="Note 6 2 4 3" xfId="23393" xr:uid="{00000000-0005-0000-0000-0000A7690000}"/>
    <cellStyle name="Note 6 2 4 3 2" xfId="23394" xr:uid="{00000000-0005-0000-0000-0000A8690000}"/>
    <cellStyle name="Note 6 2 4 4" xfId="23395" xr:uid="{00000000-0005-0000-0000-0000A9690000}"/>
    <cellStyle name="Note 6 2 5" xfId="23396" xr:uid="{00000000-0005-0000-0000-0000AA690000}"/>
    <cellStyle name="Note 6 2 5 2" xfId="23397" xr:uid="{00000000-0005-0000-0000-0000AB690000}"/>
    <cellStyle name="Note 6 2 5 2 2" xfId="23398" xr:uid="{00000000-0005-0000-0000-0000AC690000}"/>
    <cellStyle name="Note 6 2 5 3" xfId="23399" xr:uid="{00000000-0005-0000-0000-0000AD690000}"/>
    <cellStyle name="Note 6 2 5 3 2" xfId="23400" xr:uid="{00000000-0005-0000-0000-0000AE690000}"/>
    <cellStyle name="Note 6 2 5 4" xfId="23401" xr:uid="{00000000-0005-0000-0000-0000AF690000}"/>
    <cellStyle name="Note 6 2 6" xfId="23402" xr:uid="{00000000-0005-0000-0000-0000B0690000}"/>
    <cellStyle name="Note 6 2 6 2" xfId="23403" xr:uid="{00000000-0005-0000-0000-0000B1690000}"/>
    <cellStyle name="Note 6 2 6 2 2" xfId="23404" xr:uid="{00000000-0005-0000-0000-0000B2690000}"/>
    <cellStyle name="Note 6 2 6 3" xfId="23405" xr:uid="{00000000-0005-0000-0000-0000B3690000}"/>
    <cellStyle name="Note 6 2 6 3 2" xfId="23406" xr:uid="{00000000-0005-0000-0000-0000B4690000}"/>
    <cellStyle name="Note 6 2 6 4" xfId="23407" xr:uid="{00000000-0005-0000-0000-0000B5690000}"/>
    <cellStyle name="Note 6 2 7" xfId="23408" xr:uid="{00000000-0005-0000-0000-0000B6690000}"/>
    <cellStyle name="Note 6 2 7 2" xfId="23409" xr:uid="{00000000-0005-0000-0000-0000B7690000}"/>
    <cellStyle name="Note 6 2 7 2 2" xfId="23410" xr:uid="{00000000-0005-0000-0000-0000B8690000}"/>
    <cellStyle name="Note 6 2 7 3" xfId="23411" xr:uid="{00000000-0005-0000-0000-0000B9690000}"/>
    <cellStyle name="Note 6 2 7 3 2" xfId="23412" xr:uid="{00000000-0005-0000-0000-0000BA690000}"/>
    <cellStyle name="Note 6 2 7 4" xfId="23413" xr:uid="{00000000-0005-0000-0000-0000BB690000}"/>
    <cellStyle name="Note 6 2 8" xfId="23414" xr:uid="{00000000-0005-0000-0000-0000BC690000}"/>
    <cellStyle name="Note 6 2 8 2" xfId="23415" xr:uid="{00000000-0005-0000-0000-0000BD690000}"/>
    <cellStyle name="Note 6 2 8 2 2" xfId="23416" xr:uid="{00000000-0005-0000-0000-0000BE690000}"/>
    <cellStyle name="Note 6 2 8 3" xfId="23417" xr:uid="{00000000-0005-0000-0000-0000BF690000}"/>
    <cellStyle name="Note 6 2 8 3 2" xfId="23418" xr:uid="{00000000-0005-0000-0000-0000C0690000}"/>
    <cellStyle name="Note 6 2 8 4" xfId="23419" xr:uid="{00000000-0005-0000-0000-0000C1690000}"/>
    <cellStyle name="Note 6 2 9" xfId="23420" xr:uid="{00000000-0005-0000-0000-0000C2690000}"/>
    <cellStyle name="Note 6 2 9 2" xfId="23421" xr:uid="{00000000-0005-0000-0000-0000C3690000}"/>
    <cellStyle name="Note 6 2 9 2 2" xfId="23422" xr:uid="{00000000-0005-0000-0000-0000C4690000}"/>
    <cellStyle name="Note 6 2 9 3" xfId="23423" xr:uid="{00000000-0005-0000-0000-0000C5690000}"/>
    <cellStyle name="Note 6 2 9 3 2" xfId="23424" xr:uid="{00000000-0005-0000-0000-0000C6690000}"/>
    <cellStyle name="Note 6 2 9 4" xfId="23425" xr:uid="{00000000-0005-0000-0000-0000C7690000}"/>
    <cellStyle name="Note 6 20" xfId="23426" xr:uid="{00000000-0005-0000-0000-0000C8690000}"/>
    <cellStyle name="Note 6 20 2" xfId="23427" xr:uid="{00000000-0005-0000-0000-0000C9690000}"/>
    <cellStyle name="Note 6 21" xfId="23428" xr:uid="{00000000-0005-0000-0000-0000CA690000}"/>
    <cellStyle name="Note 6 22" xfId="23311" xr:uid="{00000000-0005-0000-0000-0000CB690000}"/>
    <cellStyle name="Note 6 23" xfId="24844" xr:uid="{00000000-0005-0000-0000-0000CC690000}"/>
    <cellStyle name="Note 6 24" xfId="28121" xr:uid="{00000000-0005-0000-0000-0000CD690000}"/>
    <cellStyle name="Note 6 3" xfId="2380" xr:uid="{00000000-0005-0000-0000-0000CE690000}"/>
    <cellStyle name="Note 6 3 2" xfId="23430" xr:uid="{00000000-0005-0000-0000-0000CF690000}"/>
    <cellStyle name="Note 6 3 2 2" xfId="23431" xr:uid="{00000000-0005-0000-0000-0000D0690000}"/>
    <cellStyle name="Note 6 3 3" xfId="23432" xr:uid="{00000000-0005-0000-0000-0000D1690000}"/>
    <cellStyle name="Note 6 3 3 2" xfId="23433" xr:uid="{00000000-0005-0000-0000-0000D2690000}"/>
    <cellStyle name="Note 6 3 4" xfId="23434" xr:uid="{00000000-0005-0000-0000-0000D3690000}"/>
    <cellStyle name="Note 6 3 4 2" xfId="23435" xr:uid="{00000000-0005-0000-0000-0000D4690000}"/>
    <cellStyle name="Note 6 3 5" xfId="23436" xr:uid="{00000000-0005-0000-0000-0000D5690000}"/>
    <cellStyle name="Note 6 3 6" xfId="23429" xr:uid="{00000000-0005-0000-0000-0000D6690000}"/>
    <cellStyle name="Note 6 4" xfId="2753" xr:uid="{00000000-0005-0000-0000-0000D7690000}"/>
    <cellStyle name="Note 6 4 2" xfId="23438" xr:uid="{00000000-0005-0000-0000-0000D8690000}"/>
    <cellStyle name="Note 6 4 2 2" xfId="23439" xr:uid="{00000000-0005-0000-0000-0000D9690000}"/>
    <cellStyle name="Note 6 4 3" xfId="23440" xr:uid="{00000000-0005-0000-0000-0000DA690000}"/>
    <cellStyle name="Note 6 4 3 2" xfId="23441" xr:uid="{00000000-0005-0000-0000-0000DB690000}"/>
    <cellStyle name="Note 6 4 4" xfId="23442" xr:uid="{00000000-0005-0000-0000-0000DC690000}"/>
    <cellStyle name="Note 6 4 4 2" xfId="23443" xr:uid="{00000000-0005-0000-0000-0000DD690000}"/>
    <cellStyle name="Note 6 4 5" xfId="23444" xr:uid="{00000000-0005-0000-0000-0000DE690000}"/>
    <cellStyle name="Note 6 4 6" xfId="23437" xr:uid="{00000000-0005-0000-0000-0000DF690000}"/>
    <cellStyle name="Note 6 5" xfId="3126" xr:uid="{00000000-0005-0000-0000-0000E0690000}"/>
    <cellStyle name="Note 6 5 2" xfId="23446" xr:uid="{00000000-0005-0000-0000-0000E1690000}"/>
    <cellStyle name="Note 6 5 2 2" xfId="23447" xr:uid="{00000000-0005-0000-0000-0000E2690000}"/>
    <cellStyle name="Note 6 5 3" xfId="23448" xr:uid="{00000000-0005-0000-0000-0000E3690000}"/>
    <cellStyle name="Note 6 5 3 2" xfId="23449" xr:uid="{00000000-0005-0000-0000-0000E4690000}"/>
    <cellStyle name="Note 6 5 4" xfId="23450" xr:uid="{00000000-0005-0000-0000-0000E5690000}"/>
    <cellStyle name="Note 6 5 4 2" xfId="23451" xr:uid="{00000000-0005-0000-0000-0000E6690000}"/>
    <cellStyle name="Note 6 5 5" xfId="23452" xr:uid="{00000000-0005-0000-0000-0000E7690000}"/>
    <cellStyle name="Note 6 5 6" xfId="23445" xr:uid="{00000000-0005-0000-0000-0000E8690000}"/>
    <cellStyle name="Note 6 6" xfId="3497" xr:uid="{00000000-0005-0000-0000-0000E9690000}"/>
    <cellStyle name="Note 6 6 2" xfId="23454" xr:uid="{00000000-0005-0000-0000-0000EA690000}"/>
    <cellStyle name="Note 6 6 2 2" xfId="23455" xr:uid="{00000000-0005-0000-0000-0000EB690000}"/>
    <cellStyle name="Note 6 6 3" xfId="23456" xr:uid="{00000000-0005-0000-0000-0000EC690000}"/>
    <cellStyle name="Note 6 6 3 2" xfId="23457" xr:uid="{00000000-0005-0000-0000-0000ED690000}"/>
    <cellStyle name="Note 6 6 4" xfId="23458" xr:uid="{00000000-0005-0000-0000-0000EE690000}"/>
    <cellStyle name="Note 6 6 4 2" xfId="23459" xr:uid="{00000000-0005-0000-0000-0000EF690000}"/>
    <cellStyle name="Note 6 6 5" xfId="23460" xr:uid="{00000000-0005-0000-0000-0000F0690000}"/>
    <cellStyle name="Note 6 6 6" xfId="23453" xr:uid="{00000000-0005-0000-0000-0000F1690000}"/>
    <cellStyle name="Note 6 7" xfId="3803" xr:uid="{00000000-0005-0000-0000-0000F2690000}"/>
    <cellStyle name="Note 6 7 2" xfId="23462" xr:uid="{00000000-0005-0000-0000-0000F3690000}"/>
    <cellStyle name="Note 6 7 2 2" xfId="23463" xr:uid="{00000000-0005-0000-0000-0000F4690000}"/>
    <cellStyle name="Note 6 7 3" xfId="23464" xr:uid="{00000000-0005-0000-0000-0000F5690000}"/>
    <cellStyle name="Note 6 7 3 2" xfId="23465" xr:uid="{00000000-0005-0000-0000-0000F6690000}"/>
    <cellStyle name="Note 6 7 4" xfId="23466" xr:uid="{00000000-0005-0000-0000-0000F7690000}"/>
    <cellStyle name="Note 6 7 4 2" xfId="23467" xr:uid="{00000000-0005-0000-0000-0000F8690000}"/>
    <cellStyle name="Note 6 7 5" xfId="23468" xr:uid="{00000000-0005-0000-0000-0000F9690000}"/>
    <cellStyle name="Note 6 7 6" xfId="23461" xr:uid="{00000000-0005-0000-0000-0000FA690000}"/>
    <cellStyle name="Note 6 8" xfId="1360" xr:uid="{00000000-0005-0000-0000-0000FB690000}"/>
    <cellStyle name="Note 6 8 10" xfId="23469" xr:uid="{00000000-0005-0000-0000-0000FC690000}"/>
    <cellStyle name="Note 6 8 11" xfId="24892" xr:uid="{00000000-0005-0000-0000-0000FD690000}"/>
    <cellStyle name="Note 6 8 12" xfId="28123" xr:uid="{00000000-0005-0000-0000-0000FE690000}"/>
    <cellStyle name="Note 6 8 2" xfId="4160" xr:uid="{00000000-0005-0000-0000-0000FF690000}"/>
    <cellStyle name="Note 6 8 2 2" xfId="5111" xr:uid="{00000000-0005-0000-0000-0000006A0000}"/>
    <cellStyle name="Note 6 8 2 2 2" xfId="23472" xr:uid="{00000000-0005-0000-0000-0000016A0000}"/>
    <cellStyle name="Note 6 8 2 2 3" xfId="23471" xr:uid="{00000000-0005-0000-0000-0000026A0000}"/>
    <cellStyle name="Note 6 8 2 3" xfId="5110" xr:uid="{00000000-0005-0000-0000-0000036A0000}"/>
    <cellStyle name="Note 6 8 2 3 2" xfId="23473" xr:uid="{00000000-0005-0000-0000-0000046A0000}"/>
    <cellStyle name="Note 6 8 2 4" xfId="7092" xr:uid="{00000000-0005-0000-0000-0000056A0000}"/>
    <cellStyle name="Note 6 8 2 4 2" xfId="28125" xr:uid="{00000000-0005-0000-0000-0000066A0000}"/>
    <cellStyle name="Note 6 8 2 5" xfId="23470" xr:uid="{00000000-0005-0000-0000-0000076A0000}"/>
    <cellStyle name="Note 6 8 2 6" xfId="25012" xr:uid="{00000000-0005-0000-0000-0000086A0000}"/>
    <cellStyle name="Note 6 8 2 7" xfId="28124" xr:uid="{00000000-0005-0000-0000-0000096A0000}"/>
    <cellStyle name="Note 6 8 3" xfId="5112" xr:uid="{00000000-0005-0000-0000-00000A6A0000}"/>
    <cellStyle name="Note 6 8 3 2" xfId="23475" xr:uid="{00000000-0005-0000-0000-00000B6A0000}"/>
    <cellStyle name="Note 6 8 3 3" xfId="23474" xr:uid="{00000000-0005-0000-0000-00000C6A0000}"/>
    <cellStyle name="Note 6 8 4" xfId="5109" xr:uid="{00000000-0005-0000-0000-00000D6A0000}"/>
    <cellStyle name="Note 6 8 4 2" xfId="23477" xr:uid="{00000000-0005-0000-0000-00000E6A0000}"/>
    <cellStyle name="Note 6 8 4 3" xfId="23476" xr:uid="{00000000-0005-0000-0000-00000F6A0000}"/>
    <cellStyle name="Note 6 8 5" xfId="7091" xr:uid="{00000000-0005-0000-0000-0000106A0000}"/>
    <cellStyle name="Note 6 8 5 2" xfId="23479" xr:uid="{00000000-0005-0000-0000-0000116A0000}"/>
    <cellStyle name="Note 6 8 5 2 2" xfId="23480" xr:uid="{00000000-0005-0000-0000-0000126A0000}"/>
    <cellStyle name="Note 6 8 5 3" xfId="23481" xr:uid="{00000000-0005-0000-0000-0000136A0000}"/>
    <cellStyle name="Note 6 8 5 3 2" xfId="23482" xr:uid="{00000000-0005-0000-0000-0000146A0000}"/>
    <cellStyle name="Note 6 8 5 4" xfId="23483" xr:uid="{00000000-0005-0000-0000-0000156A0000}"/>
    <cellStyle name="Note 6 8 5 5" xfId="23478" xr:uid="{00000000-0005-0000-0000-0000166A0000}"/>
    <cellStyle name="Note 6 8 5 6" xfId="28126" xr:uid="{00000000-0005-0000-0000-0000176A0000}"/>
    <cellStyle name="Note 6 8 6" xfId="23484" xr:uid="{00000000-0005-0000-0000-0000186A0000}"/>
    <cellStyle name="Note 6 8 6 2" xfId="23485" xr:uid="{00000000-0005-0000-0000-0000196A0000}"/>
    <cellStyle name="Note 6 8 7" xfId="23486" xr:uid="{00000000-0005-0000-0000-00001A6A0000}"/>
    <cellStyle name="Note 6 8 7 2" xfId="23487" xr:uid="{00000000-0005-0000-0000-00001B6A0000}"/>
    <cellStyle name="Note 6 8 8" xfId="23488" xr:uid="{00000000-0005-0000-0000-00001C6A0000}"/>
    <cellStyle name="Note 6 8 8 2" xfId="23489" xr:uid="{00000000-0005-0000-0000-00001D6A0000}"/>
    <cellStyle name="Note 6 8 9" xfId="23490" xr:uid="{00000000-0005-0000-0000-00001E6A0000}"/>
    <cellStyle name="Note 6 9" xfId="3830" xr:uid="{00000000-0005-0000-0000-00001F6A0000}"/>
    <cellStyle name="Note 6 9 2" xfId="5114" xr:uid="{00000000-0005-0000-0000-0000206A0000}"/>
    <cellStyle name="Note 6 9 2 2" xfId="23493" xr:uid="{00000000-0005-0000-0000-0000216A0000}"/>
    <cellStyle name="Note 6 9 2 3" xfId="23492" xr:uid="{00000000-0005-0000-0000-0000226A0000}"/>
    <cellStyle name="Note 6 9 3" xfId="5113" xr:uid="{00000000-0005-0000-0000-0000236A0000}"/>
    <cellStyle name="Note 6 9 3 2" xfId="23495" xr:uid="{00000000-0005-0000-0000-0000246A0000}"/>
    <cellStyle name="Note 6 9 3 3" xfId="23494" xr:uid="{00000000-0005-0000-0000-0000256A0000}"/>
    <cellStyle name="Note 6 9 4" xfId="7093" xr:uid="{00000000-0005-0000-0000-0000266A0000}"/>
    <cellStyle name="Note 6 9 4 2" xfId="23497" xr:uid="{00000000-0005-0000-0000-0000276A0000}"/>
    <cellStyle name="Note 6 9 4 3" xfId="23496" xr:uid="{00000000-0005-0000-0000-0000286A0000}"/>
    <cellStyle name="Note 6 9 4 4" xfId="28128" xr:uid="{00000000-0005-0000-0000-0000296A0000}"/>
    <cellStyle name="Note 6 9 5" xfId="23498" xr:uid="{00000000-0005-0000-0000-00002A6A0000}"/>
    <cellStyle name="Note 6 9 6" xfId="23491" xr:uid="{00000000-0005-0000-0000-00002B6A0000}"/>
    <cellStyle name="Note 6 9 7" xfId="24966" xr:uid="{00000000-0005-0000-0000-00002C6A0000}"/>
    <cellStyle name="Note 6 9 8" xfId="28127" xr:uid="{00000000-0005-0000-0000-00002D6A0000}"/>
    <cellStyle name="Note 7" xfId="505" xr:uid="{00000000-0005-0000-0000-00002E6A0000}"/>
    <cellStyle name="Note 7 10" xfId="23500" xr:uid="{00000000-0005-0000-0000-00002F6A0000}"/>
    <cellStyle name="Note 7 10 2" xfId="23501" xr:uid="{00000000-0005-0000-0000-0000306A0000}"/>
    <cellStyle name="Note 7 10 2 2" xfId="23502" xr:uid="{00000000-0005-0000-0000-0000316A0000}"/>
    <cellStyle name="Note 7 10 3" xfId="23503" xr:uid="{00000000-0005-0000-0000-0000326A0000}"/>
    <cellStyle name="Note 7 10 3 2" xfId="23504" xr:uid="{00000000-0005-0000-0000-0000336A0000}"/>
    <cellStyle name="Note 7 10 4" xfId="23505" xr:uid="{00000000-0005-0000-0000-0000346A0000}"/>
    <cellStyle name="Note 7 11" xfId="23506" xr:uid="{00000000-0005-0000-0000-0000356A0000}"/>
    <cellStyle name="Note 7 11 2" xfId="23507" xr:uid="{00000000-0005-0000-0000-0000366A0000}"/>
    <cellStyle name="Note 7 11 2 2" xfId="23508" xr:uid="{00000000-0005-0000-0000-0000376A0000}"/>
    <cellStyle name="Note 7 11 3" xfId="23509" xr:uid="{00000000-0005-0000-0000-0000386A0000}"/>
    <cellStyle name="Note 7 11 3 2" xfId="23510" xr:uid="{00000000-0005-0000-0000-0000396A0000}"/>
    <cellStyle name="Note 7 11 4" xfId="23511" xr:uid="{00000000-0005-0000-0000-00003A6A0000}"/>
    <cellStyle name="Note 7 12" xfId="23512" xr:uid="{00000000-0005-0000-0000-00003B6A0000}"/>
    <cellStyle name="Note 7 12 2" xfId="23513" xr:uid="{00000000-0005-0000-0000-00003C6A0000}"/>
    <cellStyle name="Note 7 12 2 2" xfId="23514" xr:uid="{00000000-0005-0000-0000-00003D6A0000}"/>
    <cellStyle name="Note 7 12 3" xfId="23515" xr:uid="{00000000-0005-0000-0000-00003E6A0000}"/>
    <cellStyle name="Note 7 12 3 2" xfId="23516" xr:uid="{00000000-0005-0000-0000-00003F6A0000}"/>
    <cellStyle name="Note 7 12 4" xfId="23517" xr:uid="{00000000-0005-0000-0000-0000406A0000}"/>
    <cellStyle name="Note 7 13" xfId="23518" xr:uid="{00000000-0005-0000-0000-0000416A0000}"/>
    <cellStyle name="Note 7 13 2" xfId="23519" xr:uid="{00000000-0005-0000-0000-0000426A0000}"/>
    <cellStyle name="Note 7 13 2 2" xfId="23520" xr:uid="{00000000-0005-0000-0000-0000436A0000}"/>
    <cellStyle name="Note 7 13 3" xfId="23521" xr:uid="{00000000-0005-0000-0000-0000446A0000}"/>
    <cellStyle name="Note 7 13 3 2" xfId="23522" xr:uid="{00000000-0005-0000-0000-0000456A0000}"/>
    <cellStyle name="Note 7 13 4" xfId="23523" xr:uid="{00000000-0005-0000-0000-0000466A0000}"/>
    <cellStyle name="Note 7 14" xfId="23524" xr:uid="{00000000-0005-0000-0000-0000476A0000}"/>
    <cellStyle name="Note 7 14 2" xfId="23525" xr:uid="{00000000-0005-0000-0000-0000486A0000}"/>
    <cellStyle name="Note 7 15" xfId="23526" xr:uid="{00000000-0005-0000-0000-0000496A0000}"/>
    <cellStyle name="Note 7 15 2" xfId="23527" xr:uid="{00000000-0005-0000-0000-00004A6A0000}"/>
    <cellStyle name="Note 7 16" xfId="23528" xr:uid="{00000000-0005-0000-0000-00004B6A0000}"/>
    <cellStyle name="Note 7 16 2" xfId="23529" xr:uid="{00000000-0005-0000-0000-00004C6A0000}"/>
    <cellStyle name="Note 7 17" xfId="23530" xr:uid="{00000000-0005-0000-0000-00004D6A0000}"/>
    <cellStyle name="Note 7 18" xfId="23499" xr:uid="{00000000-0005-0000-0000-00004E6A0000}"/>
    <cellStyle name="Note 7 2" xfId="23531" xr:uid="{00000000-0005-0000-0000-00004F6A0000}"/>
    <cellStyle name="Note 7 2 10" xfId="23532" xr:uid="{00000000-0005-0000-0000-0000506A0000}"/>
    <cellStyle name="Note 7 2 10 2" xfId="23533" xr:uid="{00000000-0005-0000-0000-0000516A0000}"/>
    <cellStyle name="Note 7 2 10 2 2" xfId="23534" xr:uid="{00000000-0005-0000-0000-0000526A0000}"/>
    <cellStyle name="Note 7 2 10 3" xfId="23535" xr:uid="{00000000-0005-0000-0000-0000536A0000}"/>
    <cellStyle name="Note 7 2 10 3 2" xfId="23536" xr:uid="{00000000-0005-0000-0000-0000546A0000}"/>
    <cellStyle name="Note 7 2 10 4" xfId="23537" xr:uid="{00000000-0005-0000-0000-0000556A0000}"/>
    <cellStyle name="Note 7 2 11" xfId="23538" xr:uid="{00000000-0005-0000-0000-0000566A0000}"/>
    <cellStyle name="Note 7 2 11 2" xfId="23539" xr:uid="{00000000-0005-0000-0000-0000576A0000}"/>
    <cellStyle name="Note 7 2 11 2 2" xfId="23540" xr:uid="{00000000-0005-0000-0000-0000586A0000}"/>
    <cellStyle name="Note 7 2 11 3" xfId="23541" xr:uid="{00000000-0005-0000-0000-0000596A0000}"/>
    <cellStyle name="Note 7 2 11 3 2" xfId="23542" xr:uid="{00000000-0005-0000-0000-00005A6A0000}"/>
    <cellStyle name="Note 7 2 11 4" xfId="23543" xr:uid="{00000000-0005-0000-0000-00005B6A0000}"/>
    <cellStyle name="Note 7 2 12" xfId="23544" xr:uid="{00000000-0005-0000-0000-00005C6A0000}"/>
    <cellStyle name="Note 7 2 12 2" xfId="23545" xr:uid="{00000000-0005-0000-0000-00005D6A0000}"/>
    <cellStyle name="Note 7 2 12 2 2" xfId="23546" xr:uid="{00000000-0005-0000-0000-00005E6A0000}"/>
    <cellStyle name="Note 7 2 12 3" xfId="23547" xr:uid="{00000000-0005-0000-0000-00005F6A0000}"/>
    <cellStyle name="Note 7 2 12 3 2" xfId="23548" xr:uid="{00000000-0005-0000-0000-0000606A0000}"/>
    <cellStyle name="Note 7 2 12 4" xfId="23549" xr:uid="{00000000-0005-0000-0000-0000616A0000}"/>
    <cellStyle name="Note 7 2 13" xfId="23550" xr:uid="{00000000-0005-0000-0000-0000626A0000}"/>
    <cellStyle name="Note 7 2 13 2" xfId="23551" xr:uid="{00000000-0005-0000-0000-0000636A0000}"/>
    <cellStyle name="Note 7 2 14" xfId="23552" xr:uid="{00000000-0005-0000-0000-0000646A0000}"/>
    <cellStyle name="Note 7 2 14 2" xfId="23553" xr:uid="{00000000-0005-0000-0000-0000656A0000}"/>
    <cellStyle name="Note 7 2 15" xfId="23554" xr:uid="{00000000-0005-0000-0000-0000666A0000}"/>
    <cellStyle name="Note 7 2 2" xfId="23555" xr:uid="{00000000-0005-0000-0000-0000676A0000}"/>
    <cellStyle name="Note 7 2 2 2" xfId="23556" xr:uid="{00000000-0005-0000-0000-0000686A0000}"/>
    <cellStyle name="Note 7 2 2 2 2" xfId="23557" xr:uid="{00000000-0005-0000-0000-0000696A0000}"/>
    <cellStyle name="Note 7 2 2 3" xfId="23558" xr:uid="{00000000-0005-0000-0000-00006A6A0000}"/>
    <cellStyle name="Note 7 2 2 3 2" xfId="23559" xr:uid="{00000000-0005-0000-0000-00006B6A0000}"/>
    <cellStyle name="Note 7 2 2 4" xfId="23560" xr:uid="{00000000-0005-0000-0000-00006C6A0000}"/>
    <cellStyle name="Note 7 2 3" xfId="23561" xr:uid="{00000000-0005-0000-0000-00006D6A0000}"/>
    <cellStyle name="Note 7 2 3 2" xfId="23562" xr:uid="{00000000-0005-0000-0000-00006E6A0000}"/>
    <cellStyle name="Note 7 2 3 2 2" xfId="23563" xr:uid="{00000000-0005-0000-0000-00006F6A0000}"/>
    <cellStyle name="Note 7 2 3 3" xfId="23564" xr:uid="{00000000-0005-0000-0000-0000706A0000}"/>
    <cellStyle name="Note 7 2 3 3 2" xfId="23565" xr:uid="{00000000-0005-0000-0000-0000716A0000}"/>
    <cellStyle name="Note 7 2 3 4" xfId="23566" xr:uid="{00000000-0005-0000-0000-0000726A0000}"/>
    <cellStyle name="Note 7 2 4" xfId="23567" xr:uid="{00000000-0005-0000-0000-0000736A0000}"/>
    <cellStyle name="Note 7 2 4 2" xfId="23568" xr:uid="{00000000-0005-0000-0000-0000746A0000}"/>
    <cellStyle name="Note 7 2 4 2 2" xfId="23569" xr:uid="{00000000-0005-0000-0000-0000756A0000}"/>
    <cellStyle name="Note 7 2 4 3" xfId="23570" xr:uid="{00000000-0005-0000-0000-0000766A0000}"/>
    <cellStyle name="Note 7 2 4 3 2" xfId="23571" xr:uid="{00000000-0005-0000-0000-0000776A0000}"/>
    <cellStyle name="Note 7 2 4 4" xfId="23572" xr:uid="{00000000-0005-0000-0000-0000786A0000}"/>
    <cellStyle name="Note 7 2 5" xfId="23573" xr:uid="{00000000-0005-0000-0000-0000796A0000}"/>
    <cellStyle name="Note 7 2 5 2" xfId="23574" xr:uid="{00000000-0005-0000-0000-00007A6A0000}"/>
    <cellStyle name="Note 7 2 5 2 2" xfId="23575" xr:uid="{00000000-0005-0000-0000-00007B6A0000}"/>
    <cellStyle name="Note 7 2 5 3" xfId="23576" xr:uid="{00000000-0005-0000-0000-00007C6A0000}"/>
    <cellStyle name="Note 7 2 5 3 2" xfId="23577" xr:uid="{00000000-0005-0000-0000-00007D6A0000}"/>
    <cellStyle name="Note 7 2 5 4" xfId="23578" xr:uid="{00000000-0005-0000-0000-00007E6A0000}"/>
    <cellStyle name="Note 7 2 6" xfId="23579" xr:uid="{00000000-0005-0000-0000-00007F6A0000}"/>
    <cellStyle name="Note 7 2 6 2" xfId="23580" xr:uid="{00000000-0005-0000-0000-0000806A0000}"/>
    <cellStyle name="Note 7 2 6 2 2" xfId="23581" xr:uid="{00000000-0005-0000-0000-0000816A0000}"/>
    <cellStyle name="Note 7 2 6 3" xfId="23582" xr:uid="{00000000-0005-0000-0000-0000826A0000}"/>
    <cellStyle name="Note 7 2 6 3 2" xfId="23583" xr:uid="{00000000-0005-0000-0000-0000836A0000}"/>
    <cellStyle name="Note 7 2 6 4" xfId="23584" xr:uid="{00000000-0005-0000-0000-0000846A0000}"/>
    <cellStyle name="Note 7 2 7" xfId="23585" xr:uid="{00000000-0005-0000-0000-0000856A0000}"/>
    <cellStyle name="Note 7 2 7 2" xfId="23586" xr:uid="{00000000-0005-0000-0000-0000866A0000}"/>
    <cellStyle name="Note 7 2 7 2 2" xfId="23587" xr:uid="{00000000-0005-0000-0000-0000876A0000}"/>
    <cellStyle name="Note 7 2 7 3" xfId="23588" xr:uid="{00000000-0005-0000-0000-0000886A0000}"/>
    <cellStyle name="Note 7 2 7 3 2" xfId="23589" xr:uid="{00000000-0005-0000-0000-0000896A0000}"/>
    <cellStyle name="Note 7 2 7 4" xfId="23590" xr:uid="{00000000-0005-0000-0000-00008A6A0000}"/>
    <cellStyle name="Note 7 2 8" xfId="23591" xr:uid="{00000000-0005-0000-0000-00008B6A0000}"/>
    <cellStyle name="Note 7 2 8 2" xfId="23592" xr:uid="{00000000-0005-0000-0000-00008C6A0000}"/>
    <cellStyle name="Note 7 2 8 2 2" xfId="23593" xr:uid="{00000000-0005-0000-0000-00008D6A0000}"/>
    <cellStyle name="Note 7 2 8 3" xfId="23594" xr:uid="{00000000-0005-0000-0000-00008E6A0000}"/>
    <cellStyle name="Note 7 2 8 3 2" xfId="23595" xr:uid="{00000000-0005-0000-0000-00008F6A0000}"/>
    <cellStyle name="Note 7 2 8 4" xfId="23596" xr:uid="{00000000-0005-0000-0000-0000906A0000}"/>
    <cellStyle name="Note 7 2 9" xfId="23597" xr:uid="{00000000-0005-0000-0000-0000916A0000}"/>
    <cellStyle name="Note 7 2 9 2" xfId="23598" xr:uid="{00000000-0005-0000-0000-0000926A0000}"/>
    <cellStyle name="Note 7 2 9 2 2" xfId="23599" xr:uid="{00000000-0005-0000-0000-0000936A0000}"/>
    <cellStyle name="Note 7 2 9 3" xfId="23600" xr:uid="{00000000-0005-0000-0000-0000946A0000}"/>
    <cellStyle name="Note 7 2 9 3 2" xfId="23601" xr:uid="{00000000-0005-0000-0000-0000956A0000}"/>
    <cellStyle name="Note 7 2 9 4" xfId="23602" xr:uid="{00000000-0005-0000-0000-0000966A0000}"/>
    <cellStyle name="Note 7 3" xfId="23603" xr:uid="{00000000-0005-0000-0000-0000976A0000}"/>
    <cellStyle name="Note 7 3 2" xfId="23604" xr:uid="{00000000-0005-0000-0000-0000986A0000}"/>
    <cellStyle name="Note 7 3 2 2" xfId="23605" xr:uid="{00000000-0005-0000-0000-0000996A0000}"/>
    <cellStyle name="Note 7 3 3" xfId="23606" xr:uid="{00000000-0005-0000-0000-00009A6A0000}"/>
    <cellStyle name="Note 7 3 3 2" xfId="23607" xr:uid="{00000000-0005-0000-0000-00009B6A0000}"/>
    <cellStyle name="Note 7 3 4" xfId="23608" xr:uid="{00000000-0005-0000-0000-00009C6A0000}"/>
    <cellStyle name="Note 7 4" xfId="23609" xr:uid="{00000000-0005-0000-0000-00009D6A0000}"/>
    <cellStyle name="Note 7 4 2" xfId="23610" xr:uid="{00000000-0005-0000-0000-00009E6A0000}"/>
    <cellStyle name="Note 7 4 2 2" xfId="23611" xr:uid="{00000000-0005-0000-0000-00009F6A0000}"/>
    <cellStyle name="Note 7 4 3" xfId="23612" xr:uid="{00000000-0005-0000-0000-0000A06A0000}"/>
    <cellStyle name="Note 7 4 3 2" xfId="23613" xr:uid="{00000000-0005-0000-0000-0000A16A0000}"/>
    <cellStyle name="Note 7 4 4" xfId="23614" xr:uid="{00000000-0005-0000-0000-0000A26A0000}"/>
    <cellStyle name="Note 7 5" xfId="23615" xr:uid="{00000000-0005-0000-0000-0000A36A0000}"/>
    <cellStyle name="Note 7 5 2" xfId="23616" xr:uid="{00000000-0005-0000-0000-0000A46A0000}"/>
    <cellStyle name="Note 7 5 2 2" xfId="23617" xr:uid="{00000000-0005-0000-0000-0000A56A0000}"/>
    <cellStyle name="Note 7 5 3" xfId="23618" xr:uid="{00000000-0005-0000-0000-0000A66A0000}"/>
    <cellStyle name="Note 7 5 3 2" xfId="23619" xr:uid="{00000000-0005-0000-0000-0000A76A0000}"/>
    <cellStyle name="Note 7 5 4" xfId="23620" xr:uid="{00000000-0005-0000-0000-0000A86A0000}"/>
    <cellStyle name="Note 7 6" xfId="23621" xr:uid="{00000000-0005-0000-0000-0000A96A0000}"/>
    <cellStyle name="Note 7 6 2" xfId="23622" xr:uid="{00000000-0005-0000-0000-0000AA6A0000}"/>
    <cellStyle name="Note 7 6 2 2" xfId="23623" xr:uid="{00000000-0005-0000-0000-0000AB6A0000}"/>
    <cellStyle name="Note 7 6 3" xfId="23624" xr:uid="{00000000-0005-0000-0000-0000AC6A0000}"/>
    <cellStyle name="Note 7 6 3 2" xfId="23625" xr:uid="{00000000-0005-0000-0000-0000AD6A0000}"/>
    <cellStyle name="Note 7 6 4" xfId="23626" xr:uid="{00000000-0005-0000-0000-0000AE6A0000}"/>
    <cellStyle name="Note 7 7" xfId="23627" xr:uid="{00000000-0005-0000-0000-0000AF6A0000}"/>
    <cellStyle name="Note 7 7 2" xfId="23628" xr:uid="{00000000-0005-0000-0000-0000B06A0000}"/>
    <cellStyle name="Note 7 7 2 2" xfId="23629" xr:uid="{00000000-0005-0000-0000-0000B16A0000}"/>
    <cellStyle name="Note 7 7 3" xfId="23630" xr:uid="{00000000-0005-0000-0000-0000B26A0000}"/>
    <cellStyle name="Note 7 7 3 2" xfId="23631" xr:uid="{00000000-0005-0000-0000-0000B36A0000}"/>
    <cellStyle name="Note 7 7 4" xfId="23632" xr:uid="{00000000-0005-0000-0000-0000B46A0000}"/>
    <cellStyle name="Note 7 8" xfId="23633" xr:uid="{00000000-0005-0000-0000-0000B56A0000}"/>
    <cellStyle name="Note 7 8 2" xfId="23634" xr:uid="{00000000-0005-0000-0000-0000B66A0000}"/>
    <cellStyle name="Note 7 8 2 2" xfId="23635" xr:uid="{00000000-0005-0000-0000-0000B76A0000}"/>
    <cellStyle name="Note 7 8 3" xfId="23636" xr:uid="{00000000-0005-0000-0000-0000B86A0000}"/>
    <cellStyle name="Note 7 8 3 2" xfId="23637" xr:uid="{00000000-0005-0000-0000-0000B96A0000}"/>
    <cellStyle name="Note 7 8 4" xfId="23638" xr:uid="{00000000-0005-0000-0000-0000BA6A0000}"/>
    <cellStyle name="Note 7 9" xfId="23639" xr:uid="{00000000-0005-0000-0000-0000BB6A0000}"/>
    <cellStyle name="Note 7 9 2" xfId="23640" xr:uid="{00000000-0005-0000-0000-0000BC6A0000}"/>
    <cellStyle name="Note 7 9 2 2" xfId="23641" xr:uid="{00000000-0005-0000-0000-0000BD6A0000}"/>
    <cellStyle name="Note 7 9 3" xfId="23642" xr:uid="{00000000-0005-0000-0000-0000BE6A0000}"/>
    <cellStyle name="Note 7 9 3 2" xfId="23643" xr:uid="{00000000-0005-0000-0000-0000BF6A0000}"/>
    <cellStyle name="Note 7 9 4" xfId="23644" xr:uid="{00000000-0005-0000-0000-0000C06A0000}"/>
    <cellStyle name="Note 8" xfId="628" xr:uid="{00000000-0005-0000-0000-0000C16A0000}"/>
    <cellStyle name="Note 8 10" xfId="23646" xr:uid="{00000000-0005-0000-0000-0000C26A0000}"/>
    <cellStyle name="Note 8 10 2" xfId="23647" xr:uid="{00000000-0005-0000-0000-0000C36A0000}"/>
    <cellStyle name="Note 8 10 2 2" xfId="23648" xr:uid="{00000000-0005-0000-0000-0000C46A0000}"/>
    <cellStyle name="Note 8 10 3" xfId="23649" xr:uid="{00000000-0005-0000-0000-0000C56A0000}"/>
    <cellStyle name="Note 8 10 3 2" xfId="23650" xr:uid="{00000000-0005-0000-0000-0000C66A0000}"/>
    <cellStyle name="Note 8 10 4" xfId="23651" xr:uid="{00000000-0005-0000-0000-0000C76A0000}"/>
    <cellStyle name="Note 8 11" xfId="23652" xr:uid="{00000000-0005-0000-0000-0000C86A0000}"/>
    <cellStyle name="Note 8 11 2" xfId="23653" xr:uid="{00000000-0005-0000-0000-0000C96A0000}"/>
    <cellStyle name="Note 8 11 2 2" xfId="23654" xr:uid="{00000000-0005-0000-0000-0000CA6A0000}"/>
    <cellStyle name="Note 8 11 3" xfId="23655" xr:uid="{00000000-0005-0000-0000-0000CB6A0000}"/>
    <cellStyle name="Note 8 11 3 2" xfId="23656" xr:uid="{00000000-0005-0000-0000-0000CC6A0000}"/>
    <cellStyle name="Note 8 11 4" xfId="23657" xr:uid="{00000000-0005-0000-0000-0000CD6A0000}"/>
    <cellStyle name="Note 8 12" xfId="23658" xr:uid="{00000000-0005-0000-0000-0000CE6A0000}"/>
    <cellStyle name="Note 8 12 2" xfId="23659" xr:uid="{00000000-0005-0000-0000-0000CF6A0000}"/>
    <cellStyle name="Note 8 12 2 2" xfId="23660" xr:uid="{00000000-0005-0000-0000-0000D06A0000}"/>
    <cellStyle name="Note 8 12 3" xfId="23661" xr:uid="{00000000-0005-0000-0000-0000D16A0000}"/>
    <cellStyle name="Note 8 12 3 2" xfId="23662" xr:uid="{00000000-0005-0000-0000-0000D26A0000}"/>
    <cellStyle name="Note 8 12 4" xfId="23663" xr:uid="{00000000-0005-0000-0000-0000D36A0000}"/>
    <cellStyle name="Note 8 13" xfId="23664" xr:uid="{00000000-0005-0000-0000-0000D46A0000}"/>
    <cellStyle name="Note 8 13 2" xfId="23665" xr:uid="{00000000-0005-0000-0000-0000D56A0000}"/>
    <cellStyle name="Note 8 13 2 2" xfId="23666" xr:uid="{00000000-0005-0000-0000-0000D66A0000}"/>
    <cellStyle name="Note 8 13 3" xfId="23667" xr:uid="{00000000-0005-0000-0000-0000D76A0000}"/>
    <cellStyle name="Note 8 13 3 2" xfId="23668" xr:uid="{00000000-0005-0000-0000-0000D86A0000}"/>
    <cellStyle name="Note 8 13 4" xfId="23669" xr:uid="{00000000-0005-0000-0000-0000D96A0000}"/>
    <cellStyle name="Note 8 14" xfId="23670" xr:uid="{00000000-0005-0000-0000-0000DA6A0000}"/>
    <cellStyle name="Note 8 14 2" xfId="23671" xr:uid="{00000000-0005-0000-0000-0000DB6A0000}"/>
    <cellStyle name="Note 8 15" xfId="23672" xr:uid="{00000000-0005-0000-0000-0000DC6A0000}"/>
    <cellStyle name="Note 8 15 2" xfId="23673" xr:uid="{00000000-0005-0000-0000-0000DD6A0000}"/>
    <cellStyle name="Note 8 16" xfId="23674" xr:uid="{00000000-0005-0000-0000-0000DE6A0000}"/>
    <cellStyle name="Note 8 16 2" xfId="23675" xr:uid="{00000000-0005-0000-0000-0000DF6A0000}"/>
    <cellStyle name="Note 8 17" xfId="23676" xr:uid="{00000000-0005-0000-0000-0000E06A0000}"/>
    <cellStyle name="Note 8 17 2" xfId="23677" xr:uid="{00000000-0005-0000-0000-0000E16A0000}"/>
    <cellStyle name="Note 8 17 2 2" xfId="23678" xr:uid="{00000000-0005-0000-0000-0000E26A0000}"/>
    <cellStyle name="Note 8 17 3" xfId="23679" xr:uid="{00000000-0005-0000-0000-0000E36A0000}"/>
    <cellStyle name="Note 8 17 3 2" xfId="23680" xr:uid="{00000000-0005-0000-0000-0000E46A0000}"/>
    <cellStyle name="Note 8 17 4" xfId="23681" xr:uid="{00000000-0005-0000-0000-0000E56A0000}"/>
    <cellStyle name="Note 8 18" xfId="23682" xr:uid="{00000000-0005-0000-0000-0000E66A0000}"/>
    <cellStyle name="Note 8 18 2" xfId="23683" xr:uid="{00000000-0005-0000-0000-0000E76A0000}"/>
    <cellStyle name="Note 8 19" xfId="23684" xr:uid="{00000000-0005-0000-0000-0000E86A0000}"/>
    <cellStyle name="Note 8 19 2" xfId="23685" xr:uid="{00000000-0005-0000-0000-0000E96A0000}"/>
    <cellStyle name="Note 8 2" xfId="1371" xr:uid="{00000000-0005-0000-0000-0000EA6A0000}"/>
    <cellStyle name="Note 8 2 10" xfId="23687" xr:uid="{00000000-0005-0000-0000-0000EB6A0000}"/>
    <cellStyle name="Note 8 2 10 2" xfId="23688" xr:uid="{00000000-0005-0000-0000-0000EC6A0000}"/>
    <cellStyle name="Note 8 2 10 2 2" xfId="23689" xr:uid="{00000000-0005-0000-0000-0000ED6A0000}"/>
    <cellStyle name="Note 8 2 10 3" xfId="23690" xr:uid="{00000000-0005-0000-0000-0000EE6A0000}"/>
    <cellStyle name="Note 8 2 10 3 2" xfId="23691" xr:uid="{00000000-0005-0000-0000-0000EF6A0000}"/>
    <cellStyle name="Note 8 2 10 4" xfId="23692" xr:uid="{00000000-0005-0000-0000-0000F06A0000}"/>
    <cellStyle name="Note 8 2 11" xfId="23693" xr:uid="{00000000-0005-0000-0000-0000F16A0000}"/>
    <cellStyle name="Note 8 2 11 2" xfId="23694" xr:uid="{00000000-0005-0000-0000-0000F26A0000}"/>
    <cellStyle name="Note 8 2 11 2 2" xfId="23695" xr:uid="{00000000-0005-0000-0000-0000F36A0000}"/>
    <cellStyle name="Note 8 2 11 3" xfId="23696" xr:uid="{00000000-0005-0000-0000-0000F46A0000}"/>
    <cellStyle name="Note 8 2 11 3 2" xfId="23697" xr:uid="{00000000-0005-0000-0000-0000F56A0000}"/>
    <cellStyle name="Note 8 2 11 4" xfId="23698" xr:uid="{00000000-0005-0000-0000-0000F66A0000}"/>
    <cellStyle name="Note 8 2 12" xfId="23699" xr:uid="{00000000-0005-0000-0000-0000F76A0000}"/>
    <cellStyle name="Note 8 2 12 2" xfId="23700" xr:uid="{00000000-0005-0000-0000-0000F86A0000}"/>
    <cellStyle name="Note 8 2 12 2 2" xfId="23701" xr:uid="{00000000-0005-0000-0000-0000F96A0000}"/>
    <cellStyle name="Note 8 2 12 3" xfId="23702" xr:uid="{00000000-0005-0000-0000-0000FA6A0000}"/>
    <cellStyle name="Note 8 2 12 3 2" xfId="23703" xr:uid="{00000000-0005-0000-0000-0000FB6A0000}"/>
    <cellStyle name="Note 8 2 12 4" xfId="23704" xr:uid="{00000000-0005-0000-0000-0000FC6A0000}"/>
    <cellStyle name="Note 8 2 13" xfId="23705" xr:uid="{00000000-0005-0000-0000-0000FD6A0000}"/>
    <cellStyle name="Note 8 2 13 2" xfId="23706" xr:uid="{00000000-0005-0000-0000-0000FE6A0000}"/>
    <cellStyle name="Note 8 2 14" xfId="23707" xr:uid="{00000000-0005-0000-0000-0000FF6A0000}"/>
    <cellStyle name="Note 8 2 14 2" xfId="23708" xr:uid="{00000000-0005-0000-0000-0000006B0000}"/>
    <cellStyle name="Note 8 2 15" xfId="23709" xr:uid="{00000000-0005-0000-0000-0000016B0000}"/>
    <cellStyle name="Note 8 2 15 2" xfId="23710" xr:uid="{00000000-0005-0000-0000-0000026B0000}"/>
    <cellStyle name="Note 8 2 16" xfId="23711" xr:uid="{00000000-0005-0000-0000-0000036B0000}"/>
    <cellStyle name="Note 8 2 16 2" xfId="23712" xr:uid="{00000000-0005-0000-0000-0000046B0000}"/>
    <cellStyle name="Note 8 2 16 2 2" xfId="23713" xr:uid="{00000000-0005-0000-0000-0000056B0000}"/>
    <cellStyle name="Note 8 2 16 3" xfId="23714" xr:uid="{00000000-0005-0000-0000-0000066B0000}"/>
    <cellStyle name="Note 8 2 16 3 2" xfId="23715" xr:uid="{00000000-0005-0000-0000-0000076B0000}"/>
    <cellStyle name="Note 8 2 16 4" xfId="23716" xr:uid="{00000000-0005-0000-0000-0000086B0000}"/>
    <cellStyle name="Note 8 2 17" xfId="23717" xr:uid="{00000000-0005-0000-0000-0000096B0000}"/>
    <cellStyle name="Note 8 2 17 2" xfId="23718" xr:uid="{00000000-0005-0000-0000-00000A6B0000}"/>
    <cellStyle name="Note 8 2 18" xfId="23719" xr:uid="{00000000-0005-0000-0000-00000B6B0000}"/>
    <cellStyle name="Note 8 2 18 2" xfId="23720" xr:uid="{00000000-0005-0000-0000-00000C6B0000}"/>
    <cellStyle name="Note 8 2 19" xfId="23721" xr:uid="{00000000-0005-0000-0000-00000D6B0000}"/>
    <cellStyle name="Note 8 2 19 2" xfId="23722" xr:uid="{00000000-0005-0000-0000-00000E6B0000}"/>
    <cellStyle name="Note 8 2 2" xfId="4171" xr:uid="{00000000-0005-0000-0000-00000F6B0000}"/>
    <cellStyle name="Note 8 2 2 2" xfId="5118" xr:uid="{00000000-0005-0000-0000-0000106B0000}"/>
    <cellStyle name="Note 8 2 2 2 2" xfId="23725" xr:uid="{00000000-0005-0000-0000-0000116B0000}"/>
    <cellStyle name="Note 8 2 2 2 3" xfId="23724" xr:uid="{00000000-0005-0000-0000-0000126B0000}"/>
    <cellStyle name="Note 8 2 2 3" xfId="5117" xr:uid="{00000000-0005-0000-0000-0000136B0000}"/>
    <cellStyle name="Note 8 2 2 3 2" xfId="23727" xr:uid="{00000000-0005-0000-0000-0000146B0000}"/>
    <cellStyle name="Note 8 2 2 3 3" xfId="23726" xr:uid="{00000000-0005-0000-0000-0000156B0000}"/>
    <cellStyle name="Note 8 2 2 4" xfId="7096" xr:uid="{00000000-0005-0000-0000-0000166B0000}"/>
    <cellStyle name="Note 8 2 2 4 2" xfId="23729" xr:uid="{00000000-0005-0000-0000-0000176B0000}"/>
    <cellStyle name="Note 8 2 2 4 3" xfId="23728" xr:uid="{00000000-0005-0000-0000-0000186B0000}"/>
    <cellStyle name="Note 8 2 2 4 4" xfId="28132" xr:uid="{00000000-0005-0000-0000-0000196B0000}"/>
    <cellStyle name="Note 8 2 2 5" xfId="23730" xr:uid="{00000000-0005-0000-0000-00001A6B0000}"/>
    <cellStyle name="Note 8 2 2 6" xfId="23723" xr:uid="{00000000-0005-0000-0000-00001B6B0000}"/>
    <cellStyle name="Note 8 2 2 7" xfId="25023" xr:uid="{00000000-0005-0000-0000-00001C6B0000}"/>
    <cellStyle name="Note 8 2 2 8" xfId="28131" xr:uid="{00000000-0005-0000-0000-00001D6B0000}"/>
    <cellStyle name="Note 8 2 20" xfId="23731" xr:uid="{00000000-0005-0000-0000-00001E6B0000}"/>
    <cellStyle name="Note 8 2 21" xfId="23686" xr:uid="{00000000-0005-0000-0000-00001F6B0000}"/>
    <cellStyle name="Note 8 2 22" xfId="24903" xr:uid="{00000000-0005-0000-0000-0000206B0000}"/>
    <cellStyle name="Note 8 2 23" xfId="28130" xr:uid="{00000000-0005-0000-0000-0000216B0000}"/>
    <cellStyle name="Note 8 2 3" xfId="5119" xr:uid="{00000000-0005-0000-0000-0000226B0000}"/>
    <cellStyle name="Note 8 2 3 2" xfId="23733" xr:uid="{00000000-0005-0000-0000-0000236B0000}"/>
    <cellStyle name="Note 8 2 3 2 2" xfId="23734" xr:uid="{00000000-0005-0000-0000-0000246B0000}"/>
    <cellStyle name="Note 8 2 3 3" xfId="23735" xr:uid="{00000000-0005-0000-0000-0000256B0000}"/>
    <cellStyle name="Note 8 2 3 3 2" xfId="23736" xr:uid="{00000000-0005-0000-0000-0000266B0000}"/>
    <cellStyle name="Note 8 2 3 4" xfId="23737" xr:uid="{00000000-0005-0000-0000-0000276B0000}"/>
    <cellStyle name="Note 8 2 3 5" xfId="23732" xr:uid="{00000000-0005-0000-0000-0000286B0000}"/>
    <cellStyle name="Note 8 2 4" xfId="5116" xr:uid="{00000000-0005-0000-0000-0000296B0000}"/>
    <cellStyle name="Note 8 2 4 2" xfId="23739" xr:uid="{00000000-0005-0000-0000-00002A6B0000}"/>
    <cellStyle name="Note 8 2 4 2 2" xfId="23740" xr:uid="{00000000-0005-0000-0000-00002B6B0000}"/>
    <cellStyle name="Note 8 2 4 3" xfId="23741" xr:uid="{00000000-0005-0000-0000-00002C6B0000}"/>
    <cellStyle name="Note 8 2 4 3 2" xfId="23742" xr:uid="{00000000-0005-0000-0000-00002D6B0000}"/>
    <cellStyle name="Note 8 2 4 4" xfId="23743" xr:uid="{00000000-0005-0000-0000-00002E6B0000}"/>
    <cellStyle name="Note 8 2 4 5" xfId="23738" xr:uid="{00000000-0005-0000-0000-00002F6B0000}"/>
    <cellStyle name="Note 8 2 5" xfId="7095" xr:uid="{00000000-0005-0000-0000-0000306B0000}"/>
    <cellStyle name="Note 8 2 5 2" xfId="23745" xr:uid="{00000000-0005-0000-0000-0000316B0000}"/>
    <cellStyle name="Note 8 2 5 2 2" xfId="23746" xr:uid="{00000000-0005-0000-0000-0000326B0000}"/>
    <cellStyle name="Note 8 2 5 3" xfId="23747" xr:uid="{00000000-0005-0000-0000-0000336B0000}"/>
    <cellStyle name="Note 8 2 5 3 2" xfId="23748" xr:uid="{00000000-0005-0000-0000-0000346B0000}"/>
    <cellStyle name="Note 8 2 5 4" xfId="23749" xr:uid="{00000000-0005-0000-0000-0000356B0000}"/>
    <cellStyle name="Note 8 2 5 5" xfId="23744" xr:uid="{00000000-0005-0000-0000-0000366B0000}"/>
    <cellStyle name="Note 8 2 5 6" xfId="28133" xr:uid="{00000000-0005-0000-0000-0000376B0000}"/>
    <cellStyle name="Note 8 2 6" xfId="23750" xr:uid="{00000000-0005-0000-0000-0000386B0000}"/>
    <cellStyle name="Note 8 2 6 2" xfId="23751" xr:uid="{00000000-0005-0000-0000-0000396B0000}"/>
    <cellStyle name="Note 8 2 6 2 2" xfId="23752" xr:uid="{00000000-0005-0000-0000-00003A6B0000}"/>
    <cellStyle name="Note 8 2 6 3" xfId="23753" xr:uid="{00000000-0005-0000-0000-00003B6B0000}"/>
    <cellStyle name="Note 8 2 6 3 2" xfId="23754" xr:uid="{00000000-0005-0000-0000-00003C6B0000}"/>
    <cellStyle name="Note 8 2 6 4" xfId="23755" xr:uid="{00000000-0005-0000-0000-00003D6B0000}"/>
    <cellStyle name="Note 8 2 7" xfId="23756" xr:uid="{00000000-0005-0000-0000-00003E6B0000}"/>
    <cellStyle name="Note 8 2 7 2" xfId="23757" xr:uid="{00000000-0005-0000-0000-00003F6B0000}"/>
    <cellStyle name="Note 8 2 7 2 2" xfId="23758" xr:uid="{00000000-0005-0000-0000-0000406B0000}"/>
    <cellStyle name="Note 8 2 7 3" xfId="23759" xr:uid="{00000000-0005-0000-0000-0000416B0000}"/>
    <cellStyle name="Note 8 2 7 3 2" xfId="23760" xr:uid="{00000000-0005-0000-0000-0000426B0000}"/>
    <cellStyle name="Note 8 2 7 4" xfId="23761" xr:uid="{00000000-0005-0000-0000-0000436B0000}"/>
    <cellStyle name="Note 8 2 8" xfId="23762" xr:uid="{00000000-0005-0000-0000-0000446B0000}"/>
    <cellStyle name="Note 8 2 8 2" xfId="23763" xr:uid="{00000000-0005-0000-0000-0000456B0000}"/>
    <cellStyle name="Note 8 2 8 2 2" xfId="23764" xr:uid="{00000000-0005-0000-0000-0000466B0000}"/>
    <cellStyle name="Note 8 2 8 3" xfId="23765" xr:uid="{00000000-0005-0000-0000-0000476B0000}"/>
    <cellStyle name="Note 8 2 8 3 2" xfId="23766" xr:uid="{00000000-0005-0000-0000-0000486B0000}"/>
    <cellStyle name="Note 8 2 8 4" xfId="23767" xr:uid="{00000000-0005-0000-0000-0000496B0000}"/>
    <cellStyle name="Note 8 2 9" xfId="23768" xr:uid="{00000000-0005-0000-0000-00004A6B0000}"/>
    <cellStyle name="Note 8 2 9 2" xfId="23769" xr:uid="{00000000-0005-0000-0000-00004B6B0000}"/>
    <cellStyle name="Note 8 2 9 2 2" xfId="23770" xr:uid="{00000000-0005-0000-0000-00004C6B0000}"/>
    <cellStyle name="Note 8 2 9 3" xfId="23771" xr:uid="{00000000-0005-0000-0000-00004D6B0000}"/>
    <cellStyle name="Note 8 2 9 3 2" xfId="23772" xr:uid="{00000000-0005-0000-0000-00004E6B0000}"/>
    <cellStyle name="Note 8 2 9 4" xfId="23773" xr:uid="{00000000-0005-0000-0000-00004F6B0000}"/>
    <cellStyle name="Note 8 20" xfId="23774" xr:uid="{00000000-0005-0000-0000-0000506B0000}"/>
    <cellStyle name="Note 8 20 2" xfId="23775" xr:uid="{00000000-0005-0000-0000-0000516B0000}"/>
    <cellStyle name="Note 8 21" xfId="23776" xr:uid="{00000000-0005-0000-0000-0000526B0000}"/>
    <cellStyle name="Note 8 22" xfId="23645" xr:uid="{00000000-0005-0000-0000-0000536B0000}"/>
    <cellStyle name="Note 8 23" xfId="24858" xr:uid="{00000000-0005-0000-0000-0000546B0000}"/>
    <cellStyle name="Note 8 24" xfId="28129" xr:uid="{00000000-0005-0000-0000-0000556B0000}"/>
    <cellStyle name="Note 8 3" xfId="3844" xr:uid="{00000000-0005-0000-0000-0000566B0000}"/>
    <cellStyle name="Note 8 3 2" xfId="5121" xr:uid="{00000000-0005-0000-0000-0000576B0000}"/>
    <cellStyle name="Note 8 3 2 2" xfId="23779" xr:uid="{00000000-0005-0000-0000-0000586B0000}"/>
    <cellStyle name="Note 8 3 2 3" xfId="23778" xr:uid="{00000000-0005-0000-0000-0000596B0000}"/>
    <cellStyle name="Note 8 3 3" xfId="5120" xr:uid="{00000000-0005-0000-0000-00005A6B0000}"/>
    <cellStyle name="Note 8 3 3 2" xfId="23781" xr:uid="{00000000-0005-0000-0000-00005B6B0000}"/>
    <cellStyle name="Note 8 3 3 3" xfId="23780" xr:uid="{00000000-0005-0000-0000-00005C6B0000}"/>
    <cellStyle name="Note 8 3 4" xfId="7097" xr:uid="{00000000-0005-0000-0000-00005D6B0000}"/>
    <cellStyle name="Note 8 3 4 2" xfId="23783" xr:uid="{00000000-0005-0000-0000-00005E6B0000}"/>
    <cellStyle name="Note 8 3 4 3" xfId="23782" xr:uid="{00000000-0005-0000-0000-00005F6B0000}"/>
    <cellStyle name="Note 8 3 4 4" xfId="28135" xr:uid="{00000000-0005-0000-0000-0000606B0000}"/>
    <cellStyle name="Note 8 3 5" xfId="23784" xr:uid="{00000000-0005-0000-0000-0000616B0000}"/>
    <cellStyle name="Note 8 3 6" xfId="23777" xr:uid="{00000000-0005-0000-0000-0000626B0000}"/>
    <cellStyle name="Note 8 3 7" xfId="24980" xr:uid="{00000000-0005-0000-0000-0000636B0000}"/>
    <cellStyle name="Note 8 3 8" xfId="28134" xr:uid="{00000000-0005-0000-0000-0000646B0000}"/>
    <cellStyle name="Note 8 4" xfId="5122" xr:uid="{00000000-0005-0000-0000-0000656B0000}"/>
    <cellStyle name="Note 8 4 2" xfId="23786" xr:uid="{00000000-0005-0000-0000-0000666B0000}"/>
    <cellStyle name="Note 8 4 2 2" xfId="23787" xr:uid="{00000000-0005-0000-0000-0000676B0000}"/>
    <cellStyle name="Note 8 4 3" xfId="23788" xr:uid="{00000000-0005-0000-0000-0000686B0000}"/>
    <cellStyle name="Note 8 4 3 2" xfId="23789" xr:uid="{00000000-0005-0000-0000-0000696B0000}"/>
    <cellStyle name="Note 8 4 4" xfId="23790" xr:uid="{00000000-0005-0000-0000-00006A6B0000}"/>
    <cellStyle name="Note 8 4 5" xfId="23785" xr:uid="{00000000-0005-0000-0000-00006B6B0000}"/>
    <cellStyle name="Note 8 5" xfId="5115" xr:uid="{00000000-0005-0000-0000-00006C6B0000}"/>
    <cellStyle name="Note 8 5 2" xfId="23792" xr:uid="{00000000-0005-0000-0000-00006D6B0000}"/>
    <cellStyle name="Note 8 5 2 2" xfId="23793" xr:uid="{00000000-0005-0000-0000-00006E6B0000}"/>
    <cellStyle name="Note 8 5 3" xfId="23794" xr:uid="{00000000-0005-0000-0000-00006F6B0000}"/>
    <cellStyle name="Note 8 5 3 2" xfId="23795" xr:uid="{00000000-0005-0000-0000-0000706B0000}"/>
    <cellStyle name="Note 8 5 4" xfId="23796" xr:uid="{00000000-0005-0000-0000-0000716B0000}"/>
    <cellStyle name="Note 8 5 5" xfId="23791" xr:uid="{00000000-0005-0000-0000-0000726B0000}"/>
    <cellStyle name="Note 8 6" xfId="7094" xr:uid="{00000000-0005-0000-0000-0000736B0000}"/>
    <cellStyle name="Note 8 6 2" xfId="23798" xr:uid="{00000000-0005-0000-0000-0000746B0000}"/>
    <cellStyle name="Note 8 6 2 2" xfId="23799" xr:uid="{00000000-0005-0000-0000-0000756B0000}"/>
    <cellStyle name="Note 8 6 3" xfId="23800" xr:uid="{00000000-0005-0000-0000-0000766B0000}"/>
    <cellStyle name="Note 8 6 3 2" xfId="23801" xr:uid="{00000000-0005-0000-0000-0000776B0000}"/>
    <cellStyle name="Note 8 6 4" xfId="23802" xr:uid="{00000000-0005-0000-0000-0000786B0000}"/>
    <cellStyle name="Note 8 6 5" xfId="23797" xr:uid="{00000000-0005-0000-0000-0000796B0000}"/>
    <cellStyle name="Note 8 6 6" xfId="28136" xr:uid="{00000000-0005-0000-0000-00007A6B0000}"/>
    <cellStyle name="Note 8 7" xfId="23803" xr:uid="{00000000-0005-0000-0000-00007B6B0000}"/>
    <cellStyle name="Note 8 7 2" xfId="23804" xr:uid="{00000000-0005-0000-0000-00007C6B0000}"/>
    <cellStyle name="Note 8 7 2 2" xfId="23805" xr:uid="{00000000-0005-0000-0000-00007D6B0000}"/>
    <cellStyle name="Note 8 7 3" xfId="23806" xr:uid="{00000000-0005-0000-0000-00007E6B0000}"/>
    <cellStyle name="Note 8 7 3 2" xfId="23807" xr:uid="{00000000-0005-0000-0000-00007F6B0000}"/>
    <cellStyle name="Note 8 7 4" xfId="23808" xr:uid="{00000000-0005-0000-0000-0000806B0000}"/>
    <cellStyle name="Note 8 8" xfId="23809" xr:uid="{00000000-0005-0000-0000-0000816B0000}"/>
    <cellStyle name="Note 8 8 2" xfId="23810" xr:uid="{00000000-0005-0000-0000-0000826B0000}"/>
    <cellStyle name="Note 8 8 2 2" xfId="23811" xr:uid="{00000000-0005-0000-0000-0000836B0000}"/>
    <cellStyle name="Note 8 8 3" xfId="23812" xr:uid="{00000000-0005-0000-0000-0000846B0000}"/>
    <cellStyle name="Note 8 8 3 2" xfId="23813" xr:uid="{00000000-0005-0000-0000-0000856B0000}"/>
    <cellStyle name="Note 8 8 4" xfId="23814" xr:uid="{00000000-0005-0000-0000-0000866B0000}"/>
    <cellStyle name="Note 8 9" xfId="23815" xr:uid="{00000000-0005-0000-0000-0000876B0000}"/>
    <cellStyle name="Note 8 9 2" xfId="23816" xr:uid="{00000000-0005-0000-0000-0000886B0000}"/>
    <cellStyle name="Note 8 9 2 2" xfId="23817" xr:uid="{00000000-0005-0000-0000-0000896B0000}"/>
    <cellStyle name="Note 8 9 3" xfId="23818" xr:uid="{00000000-0005-0000-0000-00008A6B0000}"/>
    <cellStyle name="Note 8 9 3 2" xfId="23819" xr:uid="{00000000-0005-0000-0000-00008B6B0000}"/>
    <cellStyle name="Note 8 9 4" xfId="23820" xr:uid="{00000000-0005-0000-0000-00008C6B0000}"/>
    <cellStyle name="Note 9" xfId="629" xr:uid="{00000000-0005-0000-0000-00008D6B0000}"/>
    <cellStyle name="Note 9 2" xfId="23822" xr:uid="{00000000-0005-0000-0000-00008E6B0000}"/>
    <cellStyle name="Note 9 2 2" xfId="23823" xr:uid="{00000000-0005-0000-0000-00008F6B0000}"/>
    <cellStyle name="Note 9 2 2 2" xfId="23824" xr:uid="{00000000-0005-0000-0000-0000906B0000}"/>
    <cellStyle name="Note 9 2 2 2 2" xfId="23825" xr:uid="{00000000-0005-0000-0000-0000916B0000}"/>
    <cellStyle name="Note 9 2 2 3" xfId="23826" xr:uid="{00000000-0005-0000-0000-0000926B0000}"/>
    <cellStyle name="Note 9 2 2 3 2" xfId="23827" xr:uid="{00000000-0005-0000-0000-0000936B0000}"/>
    <cellStyle name="Note 9 2 2 4" xfId="23828" xr:uid="{00000000-0005-0000-0000-0000946B0000}"/>
    <cellStyle name="Note 9 2 3" xfId="23829" xr:uid="{00000000-0005-0000-0000-0000956B0000}"/>
    <cellStyle name="Note 9 2 3 2" xfId="23830" xr:uid="{00000000-0005-0000-0000-0000966B0000}"/>
    <cellStyle name="Note 9 2 4" xfId="23831" xr:uid="{00000000-0005-0000-0000-0000976B0000}"/>
    <cellStyle name="Note 9 2 4 2" xfId="23832" xr:uid="{00000000-0005-0000-0000-0000986B0000}"/>
    <cellStyle name="Note 9 2 5" xfId="23833" xr:uid="{00000000-0005-0000-0000-0000996B0000}"/>
    <cellStyle name="Note 9 3" xfId="23834" xr:uid="{00000000-0005-0000-0000-00009A6B0000}"/>
    <cellStyle name="Note 9 4" xfId="23821" xr:uid="{00000000-0005-0000-0000-00009B6B0000}"/>
    <cellStyle name="Output 10" xfId="786" xr:uid="{00000000-0005-0000-0000-00009C6B0000}"/>
    <cellStyle name="Output 10 2" xfId="23837" xr:uid="{00000000-0005-0000-0000-00009D6B0000}"/>
    <cellStyle name="Output 10 3" xfId="23836" xr:uid="{00000000-0005-0000-0000-00009E6B0000}"/>
    <cellStyle name="Output 11" xfId="787" xr:uid="{00000000-0005-0000-0000-00009F6B0000}"/>
    <cellStyle name="Output 11 2" xfId="23839" xr:uid="{00000000-0005-0000-0000-0000A06B0000}"/>
    <cellStyle name="Output 11 3" xfId="23838" xr:uid="{00000000-0005-0000-0000-0000A16B0000}"/>
    <cellStyle name="Output 12" xfId="911" xr:uid="{00000000-0005-0000-0000-0000A26B0000}"/>
    <cellStyle name="Output 12 2" xfId="23840" xr:uid="{00000000-0005-0000-0000-0000A36B0000}"/>
    <cellStyle name="Output 13" xfId="912" xr:uid="{00000000-0005-0000-0000-0000A46B0000}"/>
    <cellStyle name="Output 13 2" xfId="23835" xr:uid="{00000000-0005-0000-0000-0000A56B0000}"/>
    <cellStyle name="Output 14" xfId="995" xr:uid="{00000000-0005-0000-0000-0000A66B0000}"/>
    <cellStyle name="Output 2" xfId="106" xr:uid="{00000000-0005-0000-0000-0000A76B0000}"/>
    <cellStyle name="Output 2 10" xfId="1704" xr:uid="{00000000-0005-0000-0000-0000A86B0000}"/>
    <cellStyle name="Output 2 10 2" xfId="23843" xr:uid="{00000000-0005-0000-0000-0000A96B0000}"/>
    <cellStyle name="Output 2 10 3" xfId="23842" xr:uid="{00000000-0005-0000-0000-0000AA6B0000}"/>
    <cellStyle name="Output 2 11" xfId="2039" xr:uid="{00000000-0005-0000-0000-0000AB6B0000}"/>
    <cellStyle name="Output 2 11 2" xfId="23845" xr:uid="{00000000-0005-0000-0000-0000AC6B0000}"/>
    <cellStyle name="Output 2 11 3" xfId="23844" xr:uid="{00000000-0005-0000-0000-0000AD6B0000}"/>
    <cellStyle name="Output 2 12" xfId="2413" xr:uid="{00000000-0005-0000-0000-0000AE6B0000}"/>
    <cellStyle name="Output 2 12 2" xfId="23847" xr:uid="{00000000-0005-0000-0000-0000AF6B0000}"/>
    <cellStyle name="Output 2 12 3" xfId="23846" xr:uid="{00000000-0005-0000-0000-0000B06B0000}"/>
    <cellStyle name="Output 2 13" xfId="2786" xr:uid="{00000000-0005-0000-0000-0000B16B0000}"/>
    <cellStyle name="Output 2 13 2" xfId="23849" xr:uid="{00000000-0005-0000-0000-0000B26B0000}"/>
    <cellStyle name="Output 2 13 3" xfId="23848" xr:uid="{00000000-0005-0000-0000-0000B36B0000}"/>
    <cellStyle name="Output 2 14" xfId="3160" xr:uid="{00000000-0005-0000-0000-0000B46B0000}"/>
    <cellStyle name="Output 2 14 2" xfId="23851" xr:uid="{00000000-0005-0000-0000-0000B56B0000}"/>
    <cellStyle name="Output 2 14 3" xfId="23850" xr:uid="{00000000-0005-0000-0000-0000B66B0000}"/>
    <cellStyle name="Output 2 15" xfId="3531" xr:uid="{00000000-0005-0000-0000-0000B76B0000}"/>
    <cellStyle name="Output 2 15 2" xfId="23853" xr:uid="{00000000-0005-0000-0000-0000B86B0000}"/>
    <cellStyle name="Output 2 15 3" xfId="23852" xr:uid="{00000000-0005-0000-0000-0000B96B0000}"/>
    <cellStyle name="Output 2 16" xfId="3668" xr:uid="{00000000-0005-0000-0000-0000BA6B0000}"/>
    <cellStyle name="Output 2 16 2" xfId="23855" xr:uid="{00000000-0005-0000-0000-0000BB6B0000}"/>
    <cellStyle name="Output 2 16 3" xfId="23854" xr:uid="{00000000-0005-0000-0000-0000BC6B0000}"/>
    <cellStyle name="Output 2 17" xfId="23856" xr:uid="{00000000-0005-0000-0000-0000BD6B0000}"/>
    <cellStyle name="Output 2 17 2" xfId="23857" xr:uid="{00000000-0005-0000-0000-0000BE6B0000}"/>
    <cellStyle name="Output 2 18" xfId="23858" xr:uid="{00000000-0005-0000-0000-0000BF6B0000}"/>
    <cellStyle name="Output 2 19" xfId="23841" xr:uid="{00000000-0005-0000-0000-0000C06B0000}"/>
    <cellStyle name="Output 2 2" xfId="150" xr:uid="{00000000-0005-0000-0000-0000C16B0000}"/>
    <cellStyle name="Output 2 2 2" xfId="162" xr:uid="{00000000-0005-0000-0000-0000C26B0000}"/>
    <cellStyle name="Output 2 2 2 2" xfId="23861" xr:uid="{00000000-0005-0000-0000-0000C36B0000}"/>
    <cellStyle name="Output 2 2 2 3" xfId="23860" xr:uid="{00000000-0005-0000-0000-0000C46B0000}"/>
    <cellStyle name="Output 2 2 3" xfId="326" xr:uid="{00000000-0005-0000-0000-0000C56B0000}"/>
    <cellStyle name="Output 2 2 3 2" xfId="23863" xr:uid="{00000000-0005-0000-0000-0000C66B0000}"/>
    <cellStyle name="Output 2 2 3 3" xfId="23862" xr:uid="{00000000-0005-0000-0000-0000C76B0000}"/>
    <cellStyle name="Output 2 2 4" xfId="2149" xr:uid="{00000000-0005-0000-0000-0000C86B0000}"/>
    <cellStyle name="Output 2 2 4 2" xfId="23865" xr:uid="{00000000-0005-0000-0000-0000C96B0000}"/>
    <cellStyle name="Output 2 2 4 3" xfId="23864" xr:uid="{00000000-0005-0000-0000-0000CA6B0000}"/>
    <cellStyle name="Output 2 2 5" xfId="2523" xr:uid="{00000000-0005-0000-0000-0000CB6B0000}"/>
    <cellStyle name="Output 2 2 5 2" xfId="23867" xr:uid="{00000000-0005-0000-0000-0000CC6B0000}"/>
    <cellStyle name="Output 2 2 5 3" xfId="23866" xr:uid="{00000000-0005-0000-0000-0000CD6B0000}"/>
    <cellStyle name="Output 2 2 6" xfId="2895" xr:uid="{00000000-0005-0000-0000-0000CE6B0000}"/>
    <cellStyle name="Output 2 2 6 2" xfId="23869" xr:uid="{00000000-0005-0000-0000-0000CF6B0000}"/>
    <cellStyle name="Output 2 2 6 3" xfId="23868" xr:uid="{00000000-0005-0000-0000-0000D06B0000}"/>
    <cellStyle name="Output 2 2 7" xfId="3266" xr:uid="{00000000-0005-0000-0000-0000D16B0000}"/>
    <cellStyle name="Output 2 2 7 2" xfId="23871" xr:uid="{00000000-0005-0000-0000-0000D26B0000}"/>
    <cellStyle name="Output 2 2 7 3" xfId="23870" xr:uid="{00000000-0005-0000-0000-0000D36B0000}"/>
    <cellStyle name="Output 2 2 8" xfId="23872" xr:uid="{00000000-0005-0000-0000-0000D46B0000}"/>
    <cellStyle name="Output 2 2 9" xfId="23859" xr:uid="{00000000-0005-0000-0000-0000D56B0000}"/>
    <cellStyle name="Output 2 20" xfId="24502" xr:uid="{00000000-0005-0000-0000-0000D66B0000}"/>
    <cellStyle name="Output 2 3" xfId="314" xr:uid="{00000000-0005-0000-0000-0000D76B0000}"/>
    <cellStyle name="Output 2 3 2" xfId="1325" xr:uid="{00000000-0005-0000-0000-0000D86B0000}"/>
    <cellStyle name="Output 2 3 2 2" xfId="23874" xr:uid="{00000000-0005-0000-0000-0000D96B0000}"/>
    <cellStyle name="Output 2 3 3" xfId="23873" xr:uid="{00000000-0005-0000-0000-0000DA6B0000}"/>
    <cellStyle name="Output 2 4" xfId="506" xr:uid="{00000000-0005-0000-0000-0000DB6B0000}"/>
    <cellStyle name="Output 2 4 2" xfId="23876" xr:uid="{00000000-0005-0000-0000-0000DC6B0000}"/>
    <cellStyle name="Output 2 4 3" xfId="23875" xr:uid="{00000000-0005-0000-0000-0000DD6B0000}"/>
    <cellStyle name="Output 2 5" xfId="630" xr:uid="{00000000-0005-0000-0000-0000DE6B0000}"/>
    <cellStyle name="Output 2 5 2" xfId="23878" xr:uid="{00000000-0005-0000-0000-0000DF6B0000}"/>
    <cellStyle name="Output 2 5 3" xfId="23877" xr:uid="{00000000-0005-0000-0000-0000E06B0000}"/>
    <cellStyle name="Output 2 6" xfId="788" xr:uid="{00000000-0005-0000-0000-0000E16B0000}"/>
    <cellStyle name="Output 2 6 2" xfId="23880" xr:uid="{00000000-0005-0000-0000-0000E26B0000}"/>
    <cellStyle name="Output 2 6 3" xfId="23879" xr:uid="{00000000-0005-0000-0000-0000E36B0000}"/>
    <cellStyle name="Output 2 7" xfId="789" xr:uid="{00000000-0005-0000-0000-0000E46B0000}"/>
    <cellStyle name="Output 2 7 2" xfId="23882" xr:uid="{00000000-0005-0000-0000-0000E56B0000}"/>
    <cellStyle name="Output 2 7 3" xfId="23881" xr:uid="{00000000-0005-0000-0000-0000E66B0000}"/>
    <cellStyle name="Output 2 8" xfId="913" xr:uid="{00000000-0005-0000-0000-0000E76B0000}"/>
    <cellStyle name="Output 2 8 2" xfId="1433" xr:uid="{00000000-0005-0000-0000-0000E86B0000}"/>
    <cellStyle name="Output 2 8 2 2" xfId="23884" xr:uid="{00000000-0005-0000-0000-0000E96B0000}"/>
    <cellStyle name="Output 2 8 3" xfId="23883" xr:uid="{00000000-0005-0000-0000-0000EA6B0000}"/>
    <cellStyle name="Output 2 9" xfId="996" xr:uid="{00000000-0005-0000-0000-0000EB6B0000}"/>
    <cellStyle name="Output 2 9 2" xfId="1544" xr:uid="{00000000-0005-0000-0000-0000EC6B0000}"/>
    <cellStyle name="Output 2 9 2 2" xfId="23886" xr:uid="{00000000-0005-0000-0000-0000ED6B0000}"/>
    <cellStyle name="Output 2 9 3" xfId="23885" xr:uid="{00000000-0005-0000-0000-0000EE6B0000}"/>
    <cellStyle name="Output 3" xfId="203" xr:uid="{00000000-0005-0000-0000-0000EF6B0000}"/>
    <cellStyle name="Output 3 10" xfId="3712" xr:uid="{00000000-0005-0000-0000-0000F06B0000}"/>
    <cellStyle name="Output 3 10 2" xfId="23889" xr:uid="{00000000-0005-0000-0000-0000F16B0000}"/>
    <cellStyle name="Output 3 10 3" xfId="23888" xr:uid="{00000000-0005-0000-0000-0000F26B0000}"/>
    <cellStyle name="Output 3 11" xfId="23890" xr:uid="{00000000-0005-0000-0000-0000F36B0000}"/>
    <cellStyle name="Output 3 11 2" xfId="23891" xr:uid="{00000000-0005-0000-0000-0000F46B0000}"/>
    <cellStyle name="Output 3 12" xfId="23892" xr:uid="{00000000-0005-0000-0000-0000F56B0000}"/>
    <cellStyle name="Output 3 13" xfId="23887" xr:uid="{00000000-0005-0000-0000-0000F66B0000}"/>
    <cellStyle name="Output 3 2" xfId="1485" xr:uid="{00000000-0005-0000-0000-0000F76B0000}"/>
    <cellStyle name="Output 3 2 2" xfId="1814" xr:uid="{00000000-0005-0000-0000-0000F86B0000}"/>
    <cellStyle name="Output 3 2 2 2" xfId="23895" xr:uid="{00000000-0005-0000-0000-0000F96B0000}"/>
    <cellStyle name="Output 3 2 2 3" xfId="23894" xr:uid="{00000000-0005-0000-0000-0000FA6B0000}"/>
    <cellStyle name="Output 3 2 3" xfId="2189" xr:uid="{00000000-0005-0000-0000-0000FB6B0000}"/>
    <cellStyle name="Output 3 2 3 2" xfId="23897" xr:uid="{00000000-0005-0000-0000-0000FC6B0000}"/>
    <cellStyle name="Output 3 2 3 3" xfId="23896" xr:uid="{00000000-0005-0000-0000-0000FD6B0000}"/>
    <cellStyle name="Output 3 2 4" xfId="2563" xr:uid="{00000000-0005-0000-0000-0000FE6B0000}"/>
    <cellStyle name="Output 3 2 4 2" xfId="23899" xr:uid="{00000000-0005-0000-0000-0000FF6B0000}"/>
    <cellStyle name="Output 3 2 4 3" xfId="23898" xr:uid="{00000000-0005-0000-0000-0000006C0000}"/>
    <cellStyle name="Output 3 2 5" xfId="2935" xr:uid="{00000000-0005-0000-0000-0000016C0000}"/>
    <cellStyle name="Output 3 2 5 2" xfId="23901" xr:uid="{00000000-0005-0000-0000-0000026C0000}"/>
    <cellStyle name="Output 3 2 5 3" xfId="23900" xr:uid="{00000000-0005-0000-0000-0000036C0000}"/>
    <cellStyle name="Output 3 2 6" xfId="3307" xr:uid="{00000000-0005-0000-0000-0000046C0000}"/>
    <cellStyle name="Output 3 2 6 2" xfId="23903" xr:uid="{00000000-0005-0000-0000-0000056C0000}"/>
    <cellStyle name="Output 3 2 6 3" xfId="23902" xr:uid="{00000000-0005-0000-0000-0000066C0000}"/>
    <cellStyle name="Output 3 2 7" xfId="23904" xr:uid="{00000000-0005-0000-0000-0000076C0000}"/>
    <cellStyle name="Output 3 2 8" xfId="23893" xr:uid="{00000000-0005-0000-0000-0000086C0000}"/>
    <cellStyle name="Output 3 3" xfId="1612" xr:uid="{00000000-0005-0000-0000-0000096C0000}"/>
    <cellStyle name="Output 3 3 2" xfId="1891" xr:uid="{00000000-0005-0000-0000-00000A6C0000}"/>
    <cellStyle name="Output 3 3 2 2" xfId="23907" xr:uid="{00000000-0005-0000-0000-00000B6C0000}"/>
    <cellStyle name="Output 3 3 2 3" xfId="23906" xr:uid="{00000000-0005-0000-0000-00000C6C0000}"/>
    <cellStyle name="Output 3 3 3" xfId="2266" xr:uid="{00000000-0005-0000-0000-00000D6C0000}"/>
    <cellStyle name="Output 3 3 3 2" xfId="23909" xr:uid="{00000000-0005-0000-0000-00000E6C0000}"/>
    <cellStyle name="Output 3 3 3 3" xfId="23908" xr:uid="{00000000-0005-0000-0000-00000F6C0000}"/>
    <cellStyle name="Output 3 3 4" xfId="2639" xr:uid="{00000000-0005-0000-0000-0000106C0000}"/>
    <cellStyle name="Output 3 3 4 2" xfId="23911" xr:uid="{00000000-0005-0000-0000-0000116C0000}"/>
    <cellStyle name="Output 3 3 4 3" xfId="23910" xr:uid="{00000000-0005-0000-0000-0000126C0000}"/>
    <cellStyle name="Output 3 3 5" xfId="3012" xr:uid="{00000000-0005-0000-0000-0000136C0000}"/>
    <cellStyle name="Output 3 3 5 2" xfId="23913" xr:uid="{00000000-0005-0000-0000-0000146C0000}"/>
    <cellStyle name="Output 3 3 5 3" xfId="23912" xr:uid="{00000000-0005-0000-0000-0000156C0000}"/>
    <cellStyle name="Output 3 3 6" xfId="3383" xr:uid="{00000000-0005-0000-0000-0000166C0000}"/>
    <cellStyle name="Output 3 3 6 2" xfId="23915" xr:uid="{00000000-0005-0000-0000-0000176C0000}"/>
    <cellStyle name="Output 3 3 6 3" xfId="23914" xr:uid="{00000000-0005-0000-0000-0000186C0000}"/>
    <cellStyle name="Output 3 3 7" xfId="23916" xr:uid="{00000000-0005-0000-0000-0000196C0000}"/>
    <cellStyle name="Output 3 3 8" xfId="23905" xr:uid="{00000000-0005-0000-0000-00001A6C0000}"/>
    <cellStyle name="Output 3 4" xfId="1754" xr:uid="{00000000-0005-0000-0000-00001B6C0000}"/>
    <cellStyle name="Output 3 4 2" xfId="1935" xr:uid="{00000000-0005-0000-0000-00001C6C0000}"/>
    <cellStyle name="Output 3 4 2 2" xfId="23919" xr:uid="{00000000-0005-0000-0000-00001D6C0000}"/>
    <cellStyle name="Output 3 4 2 3" xfId="23918" xr:uid="{00000000-0005-0000-0000-00001E6C0000}"/>
    <cellStyle name="Output 3 4 3" xfId="2310" xr:uid="{00000000-0005-0000-0000-00001F6C0000}"/>
    <cellStyle name="Output 3 4 3 2" xfId="23921" xr:uid="{00000000-0005-0000-0000-0000206C0000}"/>
    <cellStyle name="Output 3 4 3 3" xfId="23920" xr:uid="{00000000-0005-0000-0000-0000216C0000}"/>
    <cellStyle name="Output 3 4 4" xfId="2683" xr:uid="{00000000-0005-0000-0000-0000226C0000}"/>
    <cellStyle name="Output 3 4 4 2" xfId="23923" xr:uid="{00000000-0005-0000-0000-0000236C0000}"/>
    <cellStyle name="Output 3 4 4 3" xfId="23922" xr:uid="{00000000-0005-0000-0000-0000246C0000}"/>
    <cellStyle name="Output 3 4 5" xfId="3056" xr:uid="{00000000-0005-0000-0000-0000256C0000}"/>
    <cellStyle name="Output 3 4 5 2" xfId="23925" xr:uid="{00000000-0005-0000-0000-0000266C0000}"/>
    <cellStyle name="Output 3 4 5 3" xfId="23924" xr:uid="{00000000-0005-0000-0000-0000276C0000}"/>
    <cellStyle name="Output 3 4 6" xfId="3427" xr:uid="{00000000-0005-0000-0000-0000286C0000}"/>
    <cellStyle name="Output 3 4 6 2" xfId="23927" xr:uid="{00000000-0005-0000-0000-0000296C0000}"/>
    <cellStyle name="Output 3 4 6 3" xfId="23926" xr:uid="{00000000-0005-0000-0000-00002A6C0000}"/>
    <cellStyle name="Output 3 4 7" xfId="23928" xr:uid="{00000000-0005-0000-0000-00002B6C0000}"/>
    <cellStyle name="Output 3 4 8" xfId="23917" xr:uid="{00000000-0005-0000-0000-00002C6C0000}"/>
    <cellStyle name="Output 3 5" xfId="2089" xr:uid="{00000000-0005-0000-0000-00002D6C0000}"/>
    <cellStyle name="Output 3 5 2" xfId="23930" xr:uid="{00000000-0005-0000-0000-00002E6C0000}"/>
    <cellStyle name="Output 3 5 3" xfId="23929" xr:uid="{00000000-0005-0000-0000-00002F6C0000}"/>
    <cellStyle name="Output 3 6" xfId="2463" xr:uid="{00000000-0005-0000-0000-0000306C0000}"/>
    <cellStyle name="Output 3 6 2" xfId="23932" xr:uid="{00000000-0005-0000-0000-0000316C0000}"/>
    <cellStyle name="Output 3 6 3" xfId="23931" xr:uid="{00000000-0005-0000-0000-0000326C0000}"/>
    <cellStyle name="Output 3 7" xfId="2835" xr:uid="{00000000-0005-0000-0000-0000336C0000}"/>
    <cellStyle name="Output 3 7 2" xfId="23934" xr:uid="{00000000-0005-0000-0000-0000346C0000}"/>
    <cellStyle name="Output 3 7 3" xfId="23933" xr:uid="{00000000-0005-0000-0000-0000356C0000}"/>
    <cellStyle name="Output 3 8" xfId="3206" xr:uid="{00000000-0005-0000-0000-0000366C0000}"/>
    <cellStyle name="Output 3 8 2" xfId="23936" xr:uid="{00000000-0005-0000-0000-0000376C0000}"/>
    <cellStyle name="Output 3 8 3" xfId="23935" xr:uid="{00000000-0005-0000-0000-0000386C0000}"/>
    <cellStyle name="Output 3 9" xfId="3576" xr:uid="{00000000-0005-0000-0000-0000396C0000}"/>
    <cellStyle name="Output 3 9 2" xfId="23938" xr:uid="{00000000-0005-0000-0000-00003A6C0000}"/>
    <cellStyle name="Output 3 9 3" xfId="23937" xr:uid="{00000000-0005-0000-0000-00003B6C0000}"/>
    <cellStyle name="Output 4" xfId="272" xr:uid="{00000000-0005-0000-0000-00003C6C0000}"/>
    <cellStyle name="Output 4 10" xfId="3756" xr:uid="{00000000-0005-0000-0000-00003D6C0000}"/>
    <cellStyle name="Output 4 10 2" xfId="23941" xr:uid="{00000000-0005-0000-0000-00003E6C0000}"/>
    <cellStyle name="Output 4 10 3" xfId="23940" xr:uid="{00000000-0005-0000-0000-00003F6C0000}"/>
    <cellStyle name="Output 4 11" xfId="1285" xr:uid="{00000000-0005-0000-0000-0000406C0000}"/>
    <cellStyle name="Output 4 11 2" xfId="23943" xr:uid="{00000000-0005-0000-0000-0000416C0000}"/>
    <cellStyle name="Output 4 11 3" xfId="23942" xr:uid="{00000000-0005-0000-0000-0000426C0000}"/>
    <cellStyle name="Output 4 12" xfId="23944" xr:uid="{00000000-0005-0000-0000-0000436C0000}"/>
    <cellStyle name="Output 4 13" xfId="23939" xr:uid="{00000000-0005-0000-0000-0000446C0000}"/>
    <cellStyle name="Output 4 2" xfId="1530" xr:uid="{00000000-0005-0000-0000-0000456C0000}"/>
    <cellStyle name="Output 4 2 2" xfId="23946" xr:uid="{00000000-0005-0000-0000-0000466C0000}"/>
    <cellStyle name="Output 4 2 3" xfId="23945" xr:uid="{00000000-0005-0000-0000-0000476C0000}"/>
    <cellStyle name="Output 4 3" xfId="1655" xr:uid="{00000000-0005-0000-0000-0000486C0000}"/>
    <cellStyle name="Output 4 3 2" xfId="23948" xr:uid="{00000000-0005-0000-0000-0000496C0000}"/>
    <cellStyle name="Output 4 3 3" xfId="23947" xr:uid="{00000000-0005-0000-0000-00004A6C0000}"/>
    <cellStyle name="Output 4 4" xfId="1767" xr:uid="{00000000-0005-0000-0000-00004B6C0000}"/>
    <cellStyle name="Output 4 4 2" xfId="23950" xr:uid="{00000000-0005-0000-0000-00004C6C0000}"/>
    <cellStyle name="Output 4 4 3" xfId="23949" xr:uid="{00000000-0005-0000-0000-00004D6C0000}"/>
    <cellStyle name="Output 4 5" xfId="2102" xr:uid="{00000000-0005-0000-0000-00004E6C0000}"/>
    <cellStyle name="Output 4 5 2" xfId="23952" xr:uid="{00000000-0005-0000-0000-00004F6C0000}"/>
    <cellStyle name="Output 4 5 3" xfId="23951" xr:uid="{00000000-0005-0000-0000-0000506C0000}"/>
    <cellStyle name="Output 4 6" xfId="2476" xr:uid="{00000000-0005-0000-0000-0000516C0000}"/>
    <cellStyle name="Output 4 6 2" xfId="23954" xr:uid="{00000000-0005-0000-0000-0000526C0000}"/>
    <cellStyle name="Output 4 6 3" xfId="23953" xr:uid="{00000000-0005-0000-0000-0000536C0000}"/>
    <cellStyle name="Output 4 7" xfId="2848" xr:uid="{00000000-0005-0000-0000-0000546C0000}"/>
    <cellStyle name="Output 4 7 2" xfId="23956" xr:uid="{00000000-0005-0000-0000-0000556C0000}"/>
    <cellStyle name="Output 4 7 3" xfId="23955" xr:uid="{00000000-0005-0000-0000-0000566C0000}"/>
    <cellStyle name="Output 4 8" xfId="3219" xr:uid="{00000000-0005-0000-0000-0000576C0000}"/>
    <cellStyle name="Output 4 8 2" xfId="23958" xr:uid="{00000000-0005-0000-0000-0000586C0000}"/>
    <cellStyle name="Output 4 8 3" xfId="23957" xr:uid="{00000000-0005-0000-0000-0000596C0000}"/>
    <cellStyle name="Output 4 9" xfId="3619" xr:uid="{00000000-0005-0000-0000-00005A6C0000}"/>
    <cellStyle name="Output 4 9 2" xfId="23960" xr:uid="{00000000-0005-0000-0000-00005B6C0000}"/>
    <cellStyle name="Output 4 9 3" xfId="23959" xr:uid="{00000000-0005-0000-0000-00005C6C0000}"/>
    <cellStyle name="Output 5" xfId="507" xr:uid="{00000000-0005-0000-0000-00005D6C0000}"/>
    <cellStyle name="Output 5 2" xfId="1849" xr:uid="{00000000-0005-0000-0000-00005E6C0000}"/>
    <cellStyle name="Output 5 2 2" xfId="23963" xr:uid="{00000000-0005-0000-0000-00005F6C0000}"/>
    <cellStyle name="Output 5 2 3" xfId="23962" xr:uid="{00000000-0005-0000-0000-0000606C0000}"/>
    <cellStyle name="Output 5 3" xfId="2224" xr:uid="{00000000-0005-0000-0000-0000616C0000}"/>
    <cellStyle name="Output 5 3 2" xfId="23965" xr:uid="{00000000-0005-0000-0000-0000626C0000}"/>
    <cellStyle name="Output 5 3 3" xfId="23964" xr:uid="{00000000-0005-0000-0000-0000636C0000}"/>
    <cellStyle name="Output 5 4" xfId="2598" xr:uid="{00000000-0005-0000-0000-0000646C0000}"/>
    <cellStyle name="Output 5 4 2" xfId="23967" xr:uid="{00000000-0005-0000-0000-0000656C0000}"/>
    <cellStyle name="Output 5 4 3" xfId="23966" xr:uid="{00000000-0005-0000-0000-0000666C0000}"/>
    <cellStyle name="Output 5 5" xfId="2970" xr:uid="{00000000-0005-0000-0000-0000676C0000}"/>
    <cellStyle name="Output 5 5 2" xfId="23969" xr:uid="{00000000-0005-0000-0000-0000686C0000}"/>
    <cellStyle name="Output 5 5 3" xfId="23968" xr:uid="{00000000-0005-0000-0000-0000696C0000}"/>
    <cellStyle name="Output 5 6" xfId="3342" xr:uid="{00000000-0005-0000-0000-00006A6C0000}"/>
    <cellStyle name="Output 5 6 2" xfId="23971" xr:uid="{00000000-0005-0000-0000-00006B6C0000}"/>
    <cellStyle name="Output 5 6 3" xfId="23970" xr:uid="{00000000-0005-0000-0000-00006C6C0000}"/>
    <cellStyle name="Output 5 7" xfId="23972" xr:uid="{00000000-0005-0000-0000-00006D6C0000}"/>
    <cellStyle name="Output 5 7 2" xfId="23973" xr:uid="{00000000-0005-0000-0000-00006E6C0000}"/>
    <cellStyle name="Output 5 8" xfId="23974" xr:uid="{00000000-0005-0000-0000-00006F6C0000}"/>
    <cellStyle name="Output 5 9" xfId="23961" xr:uid="{00000000-0005-0000-0000-0000706C0000}"/>
    <cellStyle name="Output 6" xfId="508" xr:uid="{00000000-0005-0000-0000-0000716C0000}"/>
    <cellStyle name="Output 6 10" xfId="23975" xr:uid="{00000000-0005-0000-0000-0000726C0000}"/>
    <cellStyle name="Output 6 2" xfId="2006" xr:uid="{00000000-0005-0000-0000-0000736C0000}"/>
    <cellStyle name="Output 6 2 2" xfId="23977" xr:uid="{00000000-0005-0000-0000-0000746C0000}"/>
    <cellStyle name="Output 6 2 3" xfId="23976" xr:uid="{00000000-0005-0000-0000-0000756C0000}"/>
    <cellStyle name="Output 6 3" xfId="2381" xr:uid="{00000000-0005-0000-0000-0000766C0000}"/>
    <cellStyle name="Output 6 3 2" xfId="23979" xr:uid="{00000000-0005-0000-0000-0000776C0000}"/>
    <cellStyle name="Output 6 3 3" xfId="23978" xr:uid="{00000000-0005-0000-0000-0000786C0000}"/>
    <cellStyle name="Output 6 4" xfId="2754" xr:uid="{00000000-0005-0000-0000-0000796C0000}"/>
    <cellStyle name="Output 6 4 2" xfId="23981" xr:uid="{00000000-0005-0000-0000-00007A6C0000}"/>
    <cellStyle name="Output 6 4 3" xfId="23980" xr:uid="{00000000-0005-0000-0000-00007B6C0000}"/>
    <cellStyle name="Output 6 5" xfId="3127" xr:uid="{00000000-0005-0000-0000-00007C6C0000}"/>
    <cellStyle name="Output 6 5 2" xfId="23983" xr:uid="{00000000-0005-0000-0000-00007D6C0000}"/>
    <cellStyle name="Output 6 5 3" xfId="23982" xr:uid="{00000000-0005-0000-0000-00007E6C0000}"/>
    <cellStyle name="Output 6 6" xfId="3498" xr:uid="{00000000-0005-0000-0000-00007F6C0000}"/>
    <cellStyle name="Output 6 6 2" xfId="23985" xr:uid="{00000000-0005-0000-0000-0000806C0000}"/>
    <cellStyle name="Output 6 6 3" xfId="23984" xr:uid="{00000000-0005-0000-0000-0000816C0000}"/>
    <cellStyle name="Output 6 7" xfId="3804" xr:uid="{00000000-0005-0000-0000-0000826C0000}"/>
    <cellStyle name="Output 6 7 2" xfId="23987" xr:uid="{00000000-0005-0000-0000-0000836C0000}"/>
    <cellStyle name="Output 6 7 3" xfId="23986" xr:uid="{00000000-0005-0000-0000-0000846C0000}"/>
    <cellStyle name="Output 6 8" xfId="23988" xr:uid="{00000000-0005-0000-0000-0000856C0000}"/>
    <cellStyle name="Output 6 8 2" xfId="23989" xr:uid="{00000000-0005-0000-0000-0000866C0000}"/>
    <cellStyle name="Output 6 9" xfId="23990" xr:uid="{00000000-0005-0000-0000-0000876C0000}"/>
    <cellStyle name="Output 7" xfId="509" xr:uid="{00000000-0005-0000-0000-0000886C0000}"/>
    <cellStyle name="Output 7 2" xfId="23992" xr:uid="{00000000-0005-0000-0000-0000896C0000}"/>
    <cellStyle name="Output 7 3" xfId="23991" xr:uid="{00000000-0005-0000-0000-00008A6C0000}"/>
    <cellStyle name="Output 8" xfId="631" xr:uid="{00000000-0005-0000-0000-00008B6C0000}"/>
    <cellStyle name="Output 8 2" xfId="23994" xr:uid="{00000000-0005-0000-0000-00008C6C0000}"/>
    <cellStyle name="Output 8 3" xfId="23993" xr:uid="{00000000-0005-0000-0000-00008D6C0000}"/>
    <cellStyle name="Output 9" xfId="632" xr:uid="{00000000-0005-0000-0000-00008E6C0000}"/>
    <cellStyle name="Output 9 2" xfId="23996" xr:uid="{00000000-0005-0000-0000-00008F6C0000}"/>
    <cellStyle name="Output 9 3" xfId="23995" xr:uid="{00000000-0005-0000-0000-0000906C0000}"/>
    <cellStyle name="Percent" xfId="17" builtinId="5"/>
    <cellStyle name="Percent 2" xfId="5123" xr:uid="{00000000-0005-0000-0000-0000926C0000}"/>
    <cellStyle name="Percent 2 2" xfId="7104" xr:uid="{00000000-0005-0000-0000-0000936C0000}"/>
    <cellStyle name="Percent 2 2 2" xfId="23999" xr:uid="{00000000-0005-0000-0000-0000946C0000}"/>
    <cellStyle name="Percent 2 2 2 2" xfId="24559" xr:uid="{00000000-0005-0000-0000-0000956C0000}"/>
    <cellStyle name="Percent 2 2 2 3" xfId="24558" xr:uid="{00000000-0005-0000-0000-0000966C0000}"/>
    <cellStyle name="Percent 2 2 3" xfId="23998" xr:uid="{00000000-0005-0000-0000-0000976C0000}"/>
    <cellStyle name="Percent 2 2 3 2" xfId="24560" xr:uid="{00000000-0005-0000-0000-0000986C0000}"/>
    <cellStyle name="Percent 2 2 4" xfId="24561" xr:uid="{00000000-0005-0000-0000-0000996C0000}"/>
    <cellStyle name="Percent 2 2 5" xfId="24557" xr:uid="{00000000-0005-0000-0000-00009A6C0000}"/>
    <cellStyle name="Percent 2 3" xfId="24000" xr:uid="{00000000-0005-0000-0000-00009B6C0000}"/>
    <cellStyle name="Percent 2 3 2" xfId="24563" xr:uid="{00000000-0005-0000-0000-00009C6C0000}"/>
    <cellStyle name="Percent 2 3 3" xfId="24562" xr:uid="{00000000-0005-0000-0000-00009D6C0000}"/>
    <cellStyle name="Percent 2 4" xfId="23997" xr:uid="{00000000-0005-0000-0000-00009E6C0000}"/>
    <cellStyle name="Percent 2 4 2" xfId="24564" xr:uid="{00000000-0005-0000-0000-00009F6C0000}"/>
    <cellStyle name="Percent 2 4 3" xfId="28691" xr:uid="{00000000-0005-0000-0000-0000A06C0000}"/>
    <cellStyle name="Percent 2 5" xfId="24565" xr:uid="{00000000-0005-0000-0000-0000A16C0000}"/>
    <cellStyle name="Percent 2 6" xfId="24556" xr:uid="{00000000-0005-0000-0000-0000A26C0000}"/>
    <cellStyle name="Percent 3" xfId="7102" xr:uid="{00000000-0005-0000-0000-0000A36C0000}"/>
    <cellStyle name="Percent 3 2" xfId="24567" xr:uid="{00000000-0005-0000-0000-0000A46C0000}"/>
    <cellStyle name="Percent 3 3" xfId="24566" xr:uid="{00000000-0005-0000-0000-0000A56C0000}"/>
    <cellStyle name="Percent 4" xfId="24568" xr:uid="{00000000-0005-0000-0000-0000A66C0000}"/>
    <cellStyle name="PSChar" xfId="18" xr:uid="{00000000-0005-0000-0000-0000A76C0000}"/>
    <cellStyle name="PSChar 2" xfId="19" xr:uid="{00000000-0005-0000-0000-0000A86C0000}"/>
    <cellStyle name="PSChar 2 2" xfId="24003" xr:uid="{00000000-0005-0000-0000-0000A96C0000}"/>
    <cellStyle name="PSChar 2 2 2" xfId="24004" xr:uid="{00000000-0005-0000-0000-0000AA6C0000}"/>
    <cellStyle name="PSChar 2 3" xfId="24005" xr:uid="{00000000-0005-0000-0000-0000AB6C0000}"/>
    <cellStyle name="PSChar 2 4" xfId="24002" xr:uid="{00000000-0005-0000-0000-0000AC6C0000}"/>
    <cellStyle name="PSChar 3" xfId="24006" xr:uid="{00000000-0005-0000-0000-0000AD6C0000}"/>
    <cellStyle name="PSChar 3 2" xfId="24007" xr:uid="{00000000-0005-0000-0000-0000AE6C0000}"/>
    <cellStyle name="PSChar 3 2 2" xfId="24008" xr:uid="{00000000-0005-0000-0000-0000AF6C0000}"/>
    <cellStyle name="PSChar 3 3" xfId="24009" xr:uid="{00000000-0005-0000-0000-0000B06C0000}"/>
    <cellStyle name="PSChar 4" xfId="24010" xr:uid="{00000000-0005-0000-0000-0000B16C0000}"/>
    <cellStyle name="PSChar 4 2" xfId="24011" xr:uid="{00000000-0005-0000-0000-0000B26C0000}"/>
    <cellStyle name="PSChar 5" xfId="24012" xr:uid="{00000000-0005-0000-0000-0000B36C0000}"/>
    <cellStyle name="PSChar 5 2" xfId="24013" xr:uid="{00000000-0005-0000-0000-0000B46C0000}"/>
    <cellStyle name="PSChar 6" xfId="24014" xr:uid="{00000000-0005-0000-0000-0000B56C0000}"/>
    <cellStyle name="PSChar 7" xfId="24463" xr:uid="{00000000-0005-0000-0000-0000B66C0000}"/>
    <cellStyle name="PSChar 8" xfId="24001" xr:uid="{00000000-0005-0000-0000-0000B76C0000}"/>
    <cellStyle name="PSDate" xfId="20" xr:uid="{00000000-0005-0000-0000-0000B86C0000}"/>
    <cellStyle name="PSDate 2" xfId="21" xr:uid="{00000000-0005-0000-0000-0000B96C0000}"/>
    <cellStyle name="PSDate 2 2" xfId="24017" xr:uid="{00000000-0005-0000-0000-0000BA6C0000}"/>
    <cellStyle name="PSDate 2 2 2" xfId="24018" xr:uid="{00000000-0005-0000-0000-0000BB6C0000}"/>
    <cellStyle name="PSDate 2 3" xfId="24019" xr:uid="{00000000-0005-0000-0000-0000BC6C0000}"/>
    <cellStyle name="PSDate 2 4" xfId="24016" xr:uid="{00000000-0005-0000-0000-0000BD6C0000}"/>
    <cellStyle name="PSDate 3" xfId="24020" xr:uid="{00000000-0005-0000-0000-0000BE6C0000}"/>
    <cellStyle name="PSDate 3 2" xfId="24021" xr:uid="{00000000-0005-0000-0000-0000BF6C0000}"/>
    <cellStyle name="PSDate 3 2 2" xfId="24022" xr:uid="{00000000-0005-0000-0000-0000C06C0000}"/>
    <cellStyle name="PSDate 3 3" xfId="24023" xr:uid="{00000000-0005-0000-0000-0000C16C0000}"/>
    <cellStyle name="PSDate 4" xfId="24024" xr:uid="{00000000-0005-0000-0000-0000C26C0000}"/>
    <cellStyle name="PSDate 4 2" xfId="24025" xr:uid="{00000000-0005-0000-0000-0000C36C0000}"/>
    <cellStyle name="PSDate 5" xfId="24026" xr:uid="{00000000-0005-0000-0000-0000C46C0000}"/>
    <cellStyle name="PSDate 5 2" xfId="24027" xr:uid="{00000000-0005-0000-0000-0000C56C0000}"/>
    <cellStyle name="PSDate 6" xfId="24028" xr:uid="{00000000-0005-0000-0000-0000C66C0000}"/>
    <cellStyle name="PSDate 7" xfId="24462" xr:uid="{00000000-0005-0000-0000-0000C76C0000}"/>
    <cellStyle name="PSDate 8" xfId="24015" xr:uid="{00000000-0005-0000-0000-0000C86C0000}"/>
    <cellStyle name="PSDec" xfId="22" xr:uid="{00000000-0005-0000-0000-0000C96C0000}"/>
    <cellStyle name="PSDec 2" xfId="23" xr:uid="{00000000-0005-0000-0000-0000CA6C0000}"/>
    <cellStyle name="PSDec 2 2" xfId="24031" xr:uid="{00000000-0005-0000-0000-0000CB6C0000}"/>
    <cellStyle name="PSDec 2 2 2" xfId="24032" xr:uid="{00000000-0005-0000-0000-0000CC6C0000}"/>
    <cellStyle name="PSDec 2 3" xfId="24033" xr:uid="{00000000-0005-0000-0000-0000CD6C0000}"/>
    <cellStyle name="PSDec 2 4" xfId="24030" xr:uid="{00000000-0005-0000-0000-0000CE6C0000}"/>
    <cellStyle name="PSDec 3" xfId="24034" xr:uid="{00000000-0005-0000-0000-0000CF6C0000}"/>
    <cellStyle name="PSDec 3 2" xfId="24035" xr:uid="{00000000-0005-0000-0000-0000D06C0000}"/>
    <cellStyle name="PSDec 3 2 2" xfId="24036" xr:uid="{00000000-0005-0000-0000-0000D16C0000}"/>
    <cellStyle name="PSDec 3 3" xfId="24037" xr:uid="{00000000-0005-0000-0000-0000D26C0000}"/>
    <cellStyle name="PSDec 4" xfId="24038" xr:uid="{00000000-0005-0000-0000-0000D36C0000}"/>
    <cellStyle name="PSDec 4 2" xfId="24039" xr:uid="{00000000-0005-0000-0000-0000D46C0000}"/>
    <cellStyle name="PSDec 5" xfId="24040" xr:uid="{00000000-0005-0000-0000-0000D56C0000}"/>
    <cellStyle name="PSDec 5 2" xfId="24041" xr:uid="{00000000-0005-0000-0000-0000D66C0000}"/>
    <cellStyle name="PSDec 6" xfId="24042" xr:uid="{00000000-0005-0000-0000-0000D76C0000}"/>
    <cellStyle name="PSDec 7" xfId="24461" xr:uid="{00000000-0005-0000-0000-0000D86C0000}"/>
    <cellStyle name="PSDec 8" xfId="24029" xr:uid="{00000000-0005-0000-0000-0000D96C0000}"/>
    <cellStyle name="PSHeading" xfId="24" xr:uid="{00000000-0005-0000-0000-0000DA6C0000}"/>
    <cellStyle name="PSHeading 2" xfId="25" xr:uid="{00000000-0005-0000-0000-0000DB6C0000}"/>
    <cellStyle name="PSHeading 2 2" xfId="24045" xr:uid="{00000000-0005-0000-0000-0000DC6C0000}"/>
    <cellStyle name="PSHeading 2 2 2" xfId="24046" xr:uid="{00000000-0005-0000-0000-0000DD6C0000}"/>
    <cellStyle name="PSHeading 2 3" xfId="24047" xr:uid="{00000000-0005-0000-0000-0000DE6C0000}"/>
    <cellStyle name="PSHeading 2 4" xfId="24044" xr:uid="{00000000-0005-0000-0000-0000DF6C0000}"/>
    <cellStyle name="PSHeading 3" xfId="24048" xr:uid="{00000000-0005-0000-0000-0000E06C0000}"/>
    <cellStyle name="PSHeading 3 2" xfId="24049" xr:uid="{00000000-0005-0000-0000-0000E16C0000}"/>
    <cellStyle name="PSHeading 3 2 2" xfId="24050" xr:uid="{00000000-0005-0000-0000-0000E26C0000}"/>
    <cellStyle name="PSHeading 3 3" xfId="24051" xr:uid="{00000000-0005-0000-0000-0000E36C0000}"/>
    <cellStyle name="PSHeading 4" xfId="24052" xr:uid="{00000000-0005-0000-0000-0000E46C0000}"/>
    <cellStyle name="PSHeading 4 2" xfId="24053" xr:uid="{00000000-0005-0000-0000-0000E56C0000}"/>
    <cellStyle name="PSHeading 5" xfId="24054" xr:uid="{00000000-0005-0000-0000-0000E66C0000}"/>
    <cellStyle name="PSHeading 5 2" xfId="24055" xr:uid="{00000000-0005-0000-0000-0000E76C0000}"/>
    <cellStyle name="PSHeading 6" xfId="24056" xr:uid="{00000000-0005-0000-0000-0000E86C0000}"/>
    <cellStyle name="PSHeading 7" xfId="24460" xr:uid="{00000000-0005-0000-0000-0000E96C0000}"/>
    <cellStyle name="PSHeading 8" xfId="24043" xr:uid="{00000000-0005-0000-0000-0000EA6C0000}"/>
    <cellStyle name="PSInt" xfId="26" xr:uid="{00000000-0005-0000-0000-0000EB6C0000}"/>
    <cellStyle name="PSInt 2" xfId="27" xr:uid="{00000000-0005-0000-0000-0000EC6C0000}"/>
    <cellStyle name="PSInt 2 2" xfId="24059" xr:uid="{00000000-0005-0000-0000-0000ED6C0000}"/>
    <cellStyle name="PSInt 2 2 2" xfId="24060" xr:uid="{00000000-0005-0000-0000-0000EE6C0000}"/>
    <cellStyle name="PSInt 2 3" xfId="24061" xr:uid="{00000000-0005-0000-0000-0000EF6C0000}"/>
    <cellStyle name="PSInt 2 4" xfId="24058" xr:uid="{00000000-0005-0000-0000-0000F06C0000}"/>
    <cellStyle name="PSInt 3" xfId="24062" xr:uid="{00000000-0005-0000-0000-0000F16C0000}"/>
    <cellStyle name="PSInt 3 2" xfId="24063" xr:uid="{00000000-0005-0000-0000-0000F26C0000}"/>
    <cellStyle name="PSInt 3 2 2" xfId="24064" xr:uid="{00000000-0005-0000-0000-0000F36C0000}"/>
    <cellStyle name="PSInt 3 3" xfId="24065" xr:uid="{00000000-0005-0000-0000-0000F46C0000}"/>
    <cellStyle name="PSInt 4" xfId="24066" xr:uid="{00000000-0005-0000-0000-0000F56C0000}"/>
    <cellStyle name="PSInt 4 2" xfId="24067" xr:uid="{00000000-0005-0000-0000-0000F66C0000}"/>
    <cellStyle name="PSInt 5" xfId="24068" xr:uid="{00000000-0005-0000-0000-0000F76C0000}"/>
    <cellStyle name="PSInt 5 2" xfId="24069" xr:uid="{00000000-0005-0000-0000-0000F86C0000}"/>
    <cellStyle name="PSInt 6" xfId="24070" xr:uid="{00000000-0005-0000-0000-0000F96C0000}"/>
    <cellStyle name="PSInt 7" xfId="24459" xr:uid="{00000000-0005-0000-0000-0000FA6C0000}"/>
    <cellStyle name="PSInt 8" xfId="24057" xr:uid="{00000000-0005-0000-0000-0000FB6C0000}"/>
    <cellStyle name="PSSpacer" xfId="28" xr:uid="{00000000-0005-0000-0000-0000FC6C0000}"/>
    <cellStyle name="PSSpacer 2" xfId="29" xr:uid="{00000000-0005-0000-0000-0000FD6C0000}"/>
    <cellStyle name="PSSpacer 2 2" xfId="24073" xr:uid="{00000000-0005-0000-0000-0000FE6C0000}"/>
    <cellStyle name="PSSpacer 2 2 2" xfId="24074" xr:uid="{00000000-0005-0000-0000-0000FF6C0000}"/>
    <cellStyle name="PSSpacer 2 3" xfId="24075" xr:uid="{00000000-0005-0000-0000-0000006D0000}"/>
    <cellStyle name="PSSpacer 2 4" xfId="24072" xr:uid="{00000000-0005-0000-0000-0000016D0000}"/>
    <cellStyle name="PSSpacer 3" xfId="24076" xr:uid="{00000000-0005-0000-0000-0000026D0000}"/>
    <cellStyle name="PSSpacer 3 2" xfId="24077" xr:uid="{00000000-0005-0000-0000-0000036D0000}"/>
    <cellStyle name="PSSpacer 3 2 2" xfId="24078" xr:uid="{00000000-0005-0000-0000-0000046D0000}"/>
    <cellStyle name="PSSpacer 3 3" xfId="24079" xr:uid="{00000000-0005-0000-0000-0000056D0000}"/>
    <cellStyle name="PSSpacer 4" xfId="24080" xr:uid="{00000000-0005-0000-0000-0000066D0000}"/>
    <cellStyle name="PSSpacer 4 2" xfId="24081" xr:uid="{00000000-0005-0000-0000-0000076D0000}"/>
    <cellStyle name="PSSpacer 5" xfId="24082" xr:uid="{00000000-0005-0000-0000-0000086D0000}"/>
    <cellStyle name="PSSpacer 5 2" xfId="24083" xr:uid="{00000000-0005-0000-0000-0000096D0000}"/>
    <cellStyle name="PSSpacer 6" xfId="24084" xr:uid="{00000000-0005-0000-0000-00000A6D0000}"/>
    <cellStyle name="PSSpacer 7" xfId="24458" xr:uid="{00000000-0005-0000-0000-00000B6D0000}"/>
    <cellStyle name="PSSpacer 8" xfId="24071" xr:uid="{00000000-0005-0000-0000-00000C6D0000}"/>
    <cellStyle name="Title 2" xfId="107" xr:uid="{00000000-0005-0000-0000-00000D6D0000}"/>
    <cellStyle name="Title 2 10" xfId="3532" xr:uid="{00000000-0005-0000-0000-00000E6D0000}"/>
    <cellStyle name="Title 2 10 2" xfId="24088" xr:uid="{00000000-0005-0000-0000-00000F6D0000}"/>
    <cellStyle name="Title 2 10 3" xfId="24087" xr:uid="{00000000-0005-0000-0000-0000106D0000}"/>
    <cellStyle name="Title 2 11" xfId="24089" xr:uid="{00000000-0005-0000-0000-0000116D0000}"/>
    <cellStyle name="Title 2 12" xfId="24086" xr:uid="{00000000-0005-0000-0000-0000126D0000}"/>
    <cellStyle name="Title 2 2" xfId="153" xr:uid="{00000000-0005-0000-0000-0000136D0000}"/>
    <cellStyle name="Title 2 2 2" xfId="24091" xr:uid="{00000000-0005-0000-0000-0000146D0000}"/>
    <cellStyle name="Title 2 2 3" xfId="24090" xr:uid="{00000000-0005-0000-0000-0000156D0000}"/>
    <cellStyle name="Title 2 3" xfId="317" xr:uid="{00000000-0005-0000-0000-0000166D0000}"/>
    <cellStyle name="Title 2 3 2" xfId="1868" xr:uid="{00000000-0005-0000-0000-0000176D0000}"/>
    <cellStyle name="Title 2 3 2 2" xfId="24094" xr:uid="{00000000-0005-0000-0000-0000186D0000}"/>
    <cellStyle name="Title 2 3 2 3" xfId="24093" xr:uid="{00000000-0005-0000-0000-0000196D0000}"/>
    <cellStyle name="Title 2 3 3" xfId="2243" xr:uid="{00000000-0005-0000-0000-00001A6D0000}"/>
    <cellStyle name="Title 2 3 3 2" xfId="24096" xr:uid="{00000000-0005-0000-0000-00001B6D0000}"/>
    <cellStyle name="Title 2 3 3 3" xfId="24095" xr:uid="{00000000-0005-0000-0000-00001C6D0000}"/>
    <cellStyle name="Title 2 3 4" xfId="2617" xr:uid="{00000000-0005-0000-0000-00001D6D0000}"/>
    <cellStyle name="Title 2 3 4 2" xfId="24098" xr:uid="{00000000-0005-0000-0000-00001E6D0000}"/>
    <cellStyle name="Title 2 3 4 3" xfId="24097" xr:uid="{00000000-0005-0000-0000-00001F6D0000}"/>
    <cellStyle name="Title 2 3 5" xfId="2989" xr:uid="{00000000-0005-0000-0000-0000206D0000}"/>
    <cellStyle name="Title 2 3 5 2" xfId="24100" xr:uid="{00000000-0005-0000-0000-0000216D0000}"/>
    <cellStyle name="Title 2 3 5 3" xfId="24099" xr:uid="{00000000-0005-0000-0000-0000226D0000}"/>
    <cellStyle name="Title 2 3 6" xfId="3361" xr:uid="{00000000-0005-0000-0000-0000236D0000}"/>
    <cellStyle name="Title 2 3 6 2" xfId="24102" xr:uid="{00000000-0005-0000-0000-0000246D0000}"/>
    <cellStyle name="Title 2 3 6 3" xfId="24101" xr:uid="{00000000-0005-0000-0000-0000256D0000}"/>
    <cellStyle name="Title 2 3 7" xfId="1434" xr:uid="{00000000-0005-0000-0000-0000266D0000}"/>
    <cellStyle name="Title 2 3 7 2" xfId="24103" xr:uid="{00000000-0005-0000-0000-0000276D0000}"/>
    <cellStyle name="Title 2 3 8" xfId="24092" xr:uid="{00000000-0005-0000-0000-0000286D0000}"/>
    <cellStyle name="Title 2 4" xfId="1541" xr:uid="{00000000-0005-0000-0000-0000296D0000}"/>
    <cellStyle name="Title 2 4 2" xfId="1924" xr:uid="{00000000-0005-0000-0000-00002A6D0000}"/>
    <cellStyle name="Title 2 4 2 2" xfId="24106" xr:uid="{00000000-0005-0000-0000-00002B6D0000}"/>
    <cellStyle name="Title 2 4 2 3" xfId="24105" xr:uid="{00000000-0005-0000-0000-00002C6D0000}"/>
    <cellStyle name="Title 2 4 3" xfId="2299" xr:uid="{00000000-0005-0000-0000-00002D6D0000}"/>
    <cellStyle name="Title 2 4 3 2" xfId="24108" xr:uid="{00000000-0005-0000-0000-00002E6D0000}"/>
    <cellStyle name="Title 2 4 3 3" xfId="24107" xr:uid="{00000000-0005-0000-0000-00002F6D0000}"/>
    <cellStyle name="Title 2 4 4" xfId="2672" xr:uid="{00000000-0005-0000-0000-0000306D0000}"/>
    <cellStyle name="Title 2 4 4 2" xfId="24110" xr:uid="{00000000-0005-0000-0000-0000316D0000}"/>
    <cellStyle name="Title 2 4 4 3" xfId="24109" xr:uid="{00000000-0005-0000-0000-0000326D0000}"/>
    <cellStyle name="Title 2 4 5" xfId="3045" xr:uid="{00000000-0005-0000-0000-0000336D0000}"/>
    <cellStyle name="Title 2 4 5 2" xfId="24112" xr:uid="{00000000-0005-0000-0000-0000346D0000}"/>
    <cellStyle name="Title 2 4 5 3" xfId="24111" xr:uid="{00000000-0005-0000-0000-0000356D0000}"/>
    <cellStyle name="Title 2 4 6" xfId="3416" xr:uid="{00000000-0005-0000-0000-0000366D0000}"/>
    <cellStyle name="Title 2 4 6 2" xfId="24114" xr:uid="{00000000-0005-0000-0000-0000376D0000}"/>
    <cellStyle name="Title 2 4 6 3" xfId="24113" xr:uid="{00000000-0005-0000-0000-0000386D0000}"/>
    <cellStyle name="Title 2 4 7" xfId="24115" xr:uid="{00000000-0005-0000-0000-0000396D0000}"/>
    <cellStyle name="Title 2 4 8" xfId="24104" xr:uid="{00000000-0005-0000-0000-00003A6D0000}"/>
    <cellStyle name="Title 2 5" xfId="1709" xr:uid="{00000000-0005-0000-0000-00003B6D0000}"/>
    <cellStyle name="Title 2 5 2" xfId="24117" xr:uid="{00000000-0005-0000-0000-00003C6D0000}"/>
    <cellStyle name="Title 2 5 3" xfId="24116" xr:uid="{00000000-0005-0000-0000-00003D6D0000}"/>
    <cellStyle name="Title 2 6" xfId="2044" xr:uid="{00000000-0005-0000-0000-00003E6D0000}"/>
    <cellStyle name="Title 2 6 2" xfId="24119" xr:uid="{00000000-0005-0000-0000-00003F6D0000}"/>
    <cellStyle name="Title 2 6 3" xfId="24118" xr:uid="{00000000-0005-0000-0000-0000406D0000}"/>
    <cellStyle name="Title 2 7" xfId="2418" xr:uid="{00000000-0005-0000-0000-0000416D0000}"/>
    <cellStyle name="Title 2 7 2" xfId="24121" xr:uid="{00000000-0005-0000-0000-0000426D0000}"/>
    <cellStyle name="Title 2 7 3" xfId="24120" xr:uid="{00000000-0005-0000-0000-0000436D0000}"/>
    <cellStyle name="Title 2 8" xfId="2790" xr:uid="{00000000-0005-0000-0000-0000446D0000}"/>
    <cellStyle name="Title 2 8 2" xfId="24123" xr:uid="{00000000-0005-0000-0000-0000456D0000}"/>
    <cellStyle name="Title 2 8 3" xfId="24122" xr:uid="{00000000-0005-0000-0000-0000466D0000}"/>
    <cellStyle name="Title 2 9" xfId="3161" xr:uid="{00000000-0005-0000-0000-0000476D0000}"/>
    <cellStyle name="Title 2 9 2" xfId="24125" xr:uid="{00000000-0005-0000-0000-0000486D0000}"/>
    <cellStyle name="Title 2 9 3" xfId="24124" xr:uid="{00000000-0005-0000-0000-0000496D0000}"/>
    <cellStyle name="Title 3" xfId="194" xr:uid="{00000000-0005-0000-0000-00004A6D0000}"/>
    <cellStyle name="Title 3 10" xfId="3713" xr:uid="{00000000-0005-0000-0000-00004B6D0000}"/>
    <cellStyle name="Title 3 10 2" xfId="24128" xr:uid="{00000000-0005-0000-0000-00004C6D0000}"/>
    <cellStyle name="Title 3 10 3" xfId="24127" xr:uid="{00000000-0005-0000-0000-00004D6D0000}"/>
    <cellStyle name="Title 3 11" xfId="24129" xr:uid="{00000000-0005-0000-0000-00004E6D0000}"/>
    <cellStyle name="Title 3 12" xfId="24126" xr:uid="{00000000-0005-0000-0000-00004F6D0000}"/>
    <cellStyle name="Title 3 2" xfId="1486" xr:uid="{00000000-0005-0000-0000-0000506D0000}"/>
    <cellStyle name="Title 3 2 2" xfId="1805" xr:uid="{00000000-0005-0000-0000-0000516D0000}"/>
    <cellStyle name="Title 3 2 2 2" xfId="24132" xr:uid="{00000000-0005-0000-0000-0000526D0000}"/>
    <cellStyle name="Title 3 2 2 3" xfId="24131" xr:uid="{00000000-0005-0000-0000-0000536D0000}"/>
    <cellStyle name="Title 3 2 3" xfId="2180" xr:uid="{00000000-0005-0000-0000-0000546D0000}"/>
    <cellStyle name="Title 3 2 3 2" xfId="24134" xr:uid="{00000000-0005-0000-0000-0000556D0000}"/>
    <cellStyle name="Title 3 2 3 3" xfId="24133" xr:uid="{00000000-0005-0000-0000-0000566D0000}"/>
    <cellStyle name="Title 3 2 4" xfId="2554" xr:uid="{00000000-0005-0000-0000-0000576D0000}"/>
    <cellStyle name="Title 3 2 4 2" xfId="24136" xr:uid="{00000000-0005-0000-0000-0000586D0000}"/>
    <cellStyle name="Title 3 2 4 3" xfId="24135" xr:uid="{00000000-0005-0000-0000-0000596D0000}"/>
    <cellStyle name="Title 3 2 5" xfId="2926" xr:uid="{00000000-0005-0000-0000-00005A6D0000}"/>
    <cellStyle name="Title 3 2 5 2" xfId="24138" xr:uid="{00000000-0005-0000-0000-00005B6D0000}"/>
    <cellStyle name="Title 3 2 5 3" xfId="24137" xr:uid="{00000000-0005-0000-0000-00005C6D0000}"/>
    <cellStyle name="Title 3 2 6" xfId="3298" xr:uid="{00000000-0005-0000-0000-00005D6D0000}"/>
    <cellStyle name="Title 3 2 6 2" xfId="24140" xr:uid="{00000000-0005-0000-0000-00005E6D0000}"/>
    <cellStyle name="Title 3 2 6 3" xfId="24139" xr:uid="{00000000-0005-0000-0000-00005F6D0000}"/>
    <cellStyle name="Title 3 2 7" xfId="24141" xr:uid="{00000000-0005-0000-0000-0000606D0000}"/>
    <cellStyle name="Title 3 2 8" xfId="24130" xr:uid="{00000000-0005-0000-0000-0000616D0000}"/>
    <cellStyle name="Title 3 3" xfId="1613" xr:uid="{00000000-0005-0000-0000-0000626D0000}"/>
    <cellStyle name="Title 3 3 2" xfId="1882" xr:uid="{00000000-0005-0000-0000-0000636D0000}"/>
    <cellStyle name="Title 3 3 2 2" xfId="24144" xr:uid="{00000000-0005-0000-0000-0000646D0000}"/>
    <cellStyle name="Title 3 3 2 3" xfId="24143" xr:uid="{00000000-0005-0000-0000-0000656D0000}"/>
    <cellStyle name="Title 3 3 3" xfId="2257" xr:uid="{00000000-0005-0000-0000-0000666D0000}"/>
    <cellStyle name="Title 3 3 3 2" xfId="24146" xr:uid="{00000000-0005-0000-0000-0000676D0000}"/>
    <cellStyle name="Title 3 3 3 3" xfId="24145" xr:uid="{00000000-0005-0000-0000-0000686D0000}"/>
    <cellStyle name="Title 3 3 4" xfId="2630" xr:uid="{00000000-0005-0000-0000-0000696D0000}"/>
    <cellStyle name="Title 3 3 4 2" xfId="24148" xr:uid="{00000000-0005-0000-0000-00006A6D0000}"/>
    <cellStyle name="Title 3 3 4 3" xfId="24147" xr:uid="{00000000-0005-0000-0000-00006B6D0000}"/>
    <cellStyle name="Title 3 3 5" xfId="3003" xr:uid="{00000000-0005-0000-0000-00006C6D0000}"/>
    <cellStyle name="Title 3 3 5 2" xfId="24150" xr:uid="{00000000-0005-0000-0000-00006D6D0000}"/>
    <cellStyle name="Title 3 3 5 3" xfId="24149" xr:uid="{00000000-0005-0000-0000-00006E6D0000}"/>
    <cellStyle name="Title 3 3 6" xfId="3374" xr:uid="{00000000-0005-0000-0000-00006F6D0000}"/>
    <cellStyle name="Title 3 3 6 2" xfId="24152" xr:uid="{00000000-0005-0000-0000-0000706D0000}"/>
    <cellStyle name="Title 3 3 6 3" xfId="24151" xr:uid="{00000000-0005-0000-0000-0000716D0000}"/>
    <cellStyle name="Title 3 3 7" xfId="24153" xr:uid="{00000000-0005-0000-0000-0000726D0000}"/>
    <cellStyle name="Title 3 3 8" xfId="24142" xr:uid="{00000000-0005-0000-0000-0000736D0000}"/>
    <cellStyle name="Title 3 4" xfId="1756" xr:uid="{00000000-0005-0000-0000-0000746D0000}"/>
    <cellStyle name="Title 3 4 2" xfId="1926" xr:uid="{00000000-0005-0000-0000-0000756D0000}"/>
    <cellStyle name="Title 3 4 2 2" xfId="24156" xr:uid="{00000000-0005-0000-0000-0000766D0000}"/>
    <cellStyle name="Title 3 4 2 3" xfId="24155" xr:uid="{00000000-0005-0000-0000-0000776D0000}"/>
    <cellStyle name="Title 3 4 3" xfId="2301" xr:uid="{00000000-0005-0000-0000-0000786D0000}"/>
    <cellStyle name="Title 3 4 3 2" xfId="24158" xr:uid="{00000000-0005-0000-0000-0000796D0000}"/>
    <cellStyle name="Title 3 4 3 3" xfId="24157" xr:uid="{00000000-0005-0000-0000-00007A6D0000}"/>
    <cellStyle name="Title 3 4 4" xfId="2674" xr:uid="{00000000-0005-0000-0000-00007B6D0000}"/>
    <cellStyle name="Title 3 4 4 2" xfId="24160" xr:uid="{00000000-0005-0000-0000-00007C6D0000}"/>
    <cellStyle name="Title 3 4 4 3" xfId="24159" xr:uid="{00000000-0005-0000-0000-00007D6D0000}"/>
    <cellStyle name="Title 3 4 5" xfId="3047" xr:uid="{00000000-0005-0000-0000-00007E6D0000}"/>
    <cellStyle name="Title 3 4 5 2" xfId="24162" xr:uid="{00000000-0005-0000-0000-00007F6D0000}"/>
    <cellStyle name="Title 3 4 5 3" xfId="24161" xr:uid="{00000000-0005-0000-0000-0000806D0000}"/>
    <cellStyle name="Title 3 4 6" xfId="3418" xr:uid="{00000000-0005-0000-0000-0000816D0000}"/>
    <cellStyle name="Title 3 4 6 2" xfId="24164" xr:uid="{00000000-0005-0000-0000-0000826D0000}"/>
    <cellStyle name="Title 3 4 6 3" xfId="24163" xr:uid="{00000000-0005-0000-0000-0000836D0000}"/>
    <cellStyle name="Title 3 4 7" xfId="24165" xr:uid="{00000000-0005-0000-0000-0000846D0000}"/>
    <cellStyle name="Title 3 4 8" xfId="24154" xr:uid="{00000000-0005-0000-0000-0000856D0000}"/>
    <cellStyle name="Title 3 5" xfId="2091" xr:uid="{00000000-0005-0000-0000-0000866D0000}"/>
    <cellStyle name="Title 3 5 2" xfId="24167" xr:uid="{00000000-0005-0000-0000-0000876D0000}"/>
    <cellStyle name="Title 3 5 3" xfId="24166" xr:uid="{00000000-0005-0000-0000-0000886D0000}"/>
    <cellStyle name="Title 3 6" xfId="2465" xr:uid="{00000000-0005-0000-0000-0000896D0000}"/>
    <cellStyle name="Title 3 6 2" xfId="24169" xr:uid="{00000000-0005-0000-0000-00008A6D0000}"/>
    <cellStyle name="Title 3 6 3" xfId="24168" xr:uid="{00000000-0005-0000-0000-00008B6D0000}"/>
    <cellStyle name="Title 3 7" xfId="2837" xr:uid="{00000000-0005-0000-0000-00008C6D0000}"/>
    <cellStyle name="Title 3 7 2" xfId="24171" xr:uid="{00000000-0005-0000-0000-00008D6D0000}"/>
    <cellStyle name="Title 3 7 3" xfId="24170" xr:uid="{00000000-0005-0000-0000-00008E6D0000}"/>
    <cellStyle name="Title 3 8" xfId="3208" xr:uid="{00000000-0005-0000-0000-00008F6D0000}"/>
    <cellStyle name="Title 3 8 2" xfId="24173" xr:uid="{00000000-0005-0000-0000-0000906D0000}"/>
    <cellStyle name="Title 3 8 3" xfId="24172" xr:uid="{00000000-0005-0000-0000-0000916D0000}"/>
    <cellStyle name="Title 3 9" xfId="3577" xr:uid="{00000000-0005-0000-0000-0000926D0000}"/>
    <cellStyle name="Title 3 9 2" xfId="24175" xr:uid="{00000000-0005-0000-0000-0000936D0000}"/>
    <cellStyle name="Title 3 9 3" xfId="24174" xr:uid="{00000000-0005-0000-0000-0000946D0000}"/>
    <cellStyle name="Title 4" xfId="273" xr:uid="{00000000-0005-0000-0000-0000956D0000}"/>
    <cellStyle name="Title 4 10" xfId="3757" xr:uid="{00000000-0005-0000-0000-0000966D0000}"/>
    <cellStyle name="Title 4 10 2" xfId="24178" xr:uid="{00000000-0005-0000-0000-0000976D0000}"/>
    <cellStyle name="Title 4 10 3" xfId="24177" xr:uid="{00000000-0005-0000-0000-0000986D0000}"/>
    <cellStyle name="Title 4 11" xfId="1276" xr:uid="{00000000-0005-0000-0000-0000996D0000}"/>
    <cellStyle name="Title 4 11 2" xfId="24179" xr:uid="{00000000-0005-0000-0000-00009A6D0000}"/>
    <cellStyle name="Title 4 12" xfId="24176" xr:uid="{00000000-0005-0000-0000-00009B6D0000}"/>
    <cellStyle name="Title 4 2" xfId="1531" xr:uid="{00000000-0005-0000-0000-00009C6D0000}"/>
    <cellStyle name="Title 4 2 2" xfId="24181" xr:uid="{00000000-0005-0000-0000-00009D6D0000}"/>
    <cellStyle name="Title 4 2 3" xfId="24180" xr:uid="{00000000-0005-0000-0000-00009E6D0000}"/>
    <cellStyle name="Title 4 3" xfId="1656" xr:uid="{00000000-0005-0000-0000-00009F6D0000}"/>
    <cellStyle name="Title 4 3 2" xfId="24183" xr:uid="{00000000-0005-0000-0000-0000A06D0000}"/>
    <cellStyle name="Title 4 3 3" xfId="24182" xr:uid="{00000000-0005-0000-0000-0000A16D0000}"/>
    <cellStyle name="Title 4 4" xfId="1765" xr:uid="{00000000-0005-0000-0000-0000A26D0000}"/>
    <cellStyle name="Title 4 4 2" xfId="24185" xr:uid="{00000000-0005-0000-0000-0000A36D0000}"/>
    <cellStyle name="Title 4 4 3" xfId="24184" xr:uid="{00000000-0005-0000-0000-0000A46D0000}"/>
    <cellStyle name="Title 4 5" xfId="2100" xr:uid="{00000000-0005-0000-0000-0000A56D0000}"/>
    <cellStyle name="Title 4 5 2" xfId="24187" xr:uid="{00000000-0005-0000-0000-0000A66D0000}"/>
    <cellStyle name="Title 4 5 3" xfId="24186" xr:uid="{00000000-0005-0000-0000-0000A76D0000}"/>
    <cellStyle name="Title 4 6" xfId="2474" xr:uid="{00000000-0005-0000-0000-0000A86D0000}"/>
    <cellStyle name="Title 4 6 2" xfId="24189" xr:uid="{00000000-0005-0000-0000-0000A96D0000}"/>
    <cellStyle name="Title 4 6 3" xfId="24188" xr:uid="{00000000-0005-0000-0000-0000AA6D0000}"/>
    <cellStyle name="Title 4 7" xfId="2846" xr:uid="{00000000-0005-0000-0000-0000AB6D0000}"/>
    <cellStyle name="Title 4 7 2" xfId="24191" xr:uid="{00000000-0005-0000-0000-0000AC6D0000}"/>
    <cellStyle name="Title 4 7 3" xfId="24190" xr:uid="{00000000-0005-0000-0000-0000AD6D0000}"/>
    <cellStyle name="Title 4 8" xfId="3217" xr:uid="{00000000-0005-0000-0000-0000AE6D0000}"/>
    <cellStyle name="Title 4 8 2" xfId="24193" xr:uid="{00000000-0005-0000-0000-0000AF6D0000}"/>
    <cellStyle name="Title 4 8 3" xfId="24192" xr:uid="{00000000-0005-0000-0000-0000B06D0000}"/>
    <cellStyle name="Title 4 9" xfId="3620" xr:uid="{00000000-0005-0000-0000-0000B16D0000}"/>
    <cellStyle name="Title 4 9 2" xfId="24195" xr:uid="{00000000-0005-0000-0000-0000B26D0000}"/>
    <cellStyle name="Title 4 9 3" xfId="24194" xr:uid="{00000000-0005-0000-0000-0000B36D0000}"/>
    <cellStyle name="Title 5" xfId="510" xr:uid="{00000000-0005-0000-0000-0000B46D0000}"/>
    <cellStyle name="Title 5 10" xfId="3763" xr:uid="{00000000-0005-0000-0000-0000B56D0000}"/>
    <cellStyle name="Title 5 10 2" xfId="24198" xr:uid="{00000000-0005-0000-0000-0000B66D0000}"/>
    <cellStyle name="Title 5 10 3" xfId="24197" xr:uid="{00000000-0005-0000-0000-0000B76D0000}"/>
    <cellStyle name="Title 5 11" xfId="24199" xr:uid="{00000000-0005-0000-0000-0000B86D0000}"/>
    <cellStyle name="Title 5 12" xfId="24196" xr:uid="{00000000-0005-0000-0000-0000B96D0000}"/>
    <cellStyle name="Title 5 2" xfId="1569" xr:uid="{00000000-0005-0000-0000-0000BA6D0000}"/>
    <cellStyle name="Title 5 2 2" xfId="24201" xr:uid="{00000000-0005-0000-0000-0000BB6D0000}"/>
    <cellStyle name="Title 5 2 3" xfId="24200" xr:uid="{00000000-0005-0000-0000-0000BC6D0000}"/>
    <cellStyle name="Title 5 3" xfId="1661" xr:uid="{00000000-0005-0000-0000-0000BD6D0000}"/>
    <cellStyle name="Title 5 3 2" xfId="24203" xr:uid="{00000000-0005-0000-0000-0000BE6D0000}"/>
    <cellStyle name="Title 5 3 3" xfId="24202" xr:uid="{00000000-0005-0000-0000-0000BF6D0000}"/>
    <cellStyle name="Title 5 4" xfId="1848" xr:uid="{00000000-0005-0000-0000-0000C06D0000}"/>
    <cellStyle name="Title 5 4 2" xfId="24205" xr:uid="{00000000-0005-0000-0000-0000C16D0000}"/>
    <cellStyle name="Title 5 4 3" xfId="24204" xr:uid="{00000000-0005-0000-0000-0000C26D0000}"/>
    <cellStyle name="Title 5 5" xfId="2223" xr:uid="{00000000-0005-0000-0000-0000C36D0000}"/>
    <cellStyle name="Title 5 5 2" xfId="24207" xr:uid="{00000000-0005-0000-0000-0000C46D0000}"/>
    <cellStyle name="Title 5 5 3" xfId="24206" xr:uid="{00000000-0005-0000-0000-0000C56D0000}"/>
    <cellStyle name="Title 5 6" xfId="2597" xr:uid="{00000000-0005-0000-0000-0000C66D0000}"/>
    <cellStyle name="Title 5 6 2" xfId="24209" xr:uid="{00000000-0005-0000-0000-0000C76D0000}"/>
    <cellStyle name="Title 5 6 3" xfId="24208" xr:uid="{00000000-0005-0000-0000-0000C86D0000}"/>
    <cellStyle name="Title 5 7" xfId="2969" xr:uid="{00000000-0005-0000-0000-0000C96D0000}"/>
    <cellStyle name="Title 5 7 2" xfId="24211" xr:uid="{00000000-0005-0000-0000-0000CA6D0000}"/>
    <cellStyle name="Title 5 7 3" xfId="24210" xr:uid="{00000000-0005-0000-0000-0000CB6D0000}"/>
    <cellStyle name="Title 5 8" xfId="3341" xr:uid="{00000000-0005-0000-0000-0000CC6D0000}"/>
    <cellStyle name="Title 5 8 2" xfId="24213" xr:uid="{00000000-0005-0000-0000-0000CD6D0000}"/>
    <cellStyle name="Title 5 8 3" xfId="24212" xr:uid="{00000000-0005-0000-0000-0000CE6D0000}"/>
    <cellStyle name="Title 5 9" xfId="3624" xr:uid="{00000000-0005-0000-0000-0000CF6D0000}"/>
    <cellStyle name="Title 5 9 2" xfId="24215" xr:uid="{00000000-0005-0000-0000-0000D06D0000}"/>
    <cellStyle name="Title 5 9 3" xfId="24214" xr:uid="{00000000-0005-0000-0000-0000D16D0000}"/>
    <cellStyle name="Title 6" xfId="633" xr:uid="{00000000-0005-0000-0000-0000D26D0000}"/>
    <cellStyle name="Title 6 2" xfId="2007" xr:uid="{00000000-0005-0000-0000-0000D36D0000}"/>
    <cellStyle name="Title 6 2 2" xfId="24218" xr:uid="{00000000-0005-0000-0000-0000D46D0000}"/>
    <cellStyle name="Title 6 2 3" xfId="24217" xr:uid="{00000000-0005-0000-0000-0000D56D0000}"/>
    <cellStyle name="Title 6 3" xfId="2382" xr:uid="{00000000-0005-0000-0000-0000D66D0000}"/>
    <cellStyle name="Title 6 3 2" xfId="24220" xr:uid="{00000000-0005-0000-0000-0000D76D0000}"/>
    <cellStyle name="Title 6 3 3" xfId="24219" xr:uid="{00000000-0005-0000-0000-0000D86D0000}"/>
    <cellStyle name="Title 6 4" xfId="2755" xr:uid="{00000000-0005-0000-0000-0000D96D0000}"/>
    <cellStyle name="Title 6 4 2" xfId="24222" xr:uid="{00000000-0005-0000-0000-0000DA6D0000}"/>
    <cellStyle name="Title 6 4 3" xfId="24221" xr:uid="{00000000-0005-0000-0000-0000DB6D0000}"/>
    <cellStyle name="Title 6 5" xfId="3128" xr:uid="{00000000-0005-0000-0000-0000DC6D0000}"/>
    <cellStyle name="Title 6 5 2" xfId="24224" xr:uid="{00000000-0005-0000-0000-0000DD6D0000}"/>
    <cellStyle name="Title 6 5 3" xfId="24223" xr:uid="{00000000-0005-0000-0000-0000DE6D0000}"/>
    <cellStyle name="Title 6 6" xfId="3499" xr:uid="{00000000-0005-0000-0000-0000DF6D0000}"/>
    <cellStyle name="Title 6 6 2" xfId="24226" xr:uid="{00000000-0005-0000-0000-0000E06D0000}"/>
    <cellStyle name="Title 6 6 3" xfId="24225" xr:uid="{00000000-0005-0000-0000-0000E16D0000}"/>
    <cellStyle name="Title 6 7" xfId="3805" xr:uid="{00000000-0005-0000-0000-0000E26D0000}"/>
    <cellStyle name="Title 6 7 2" xfId="24228" xr:uid="{00000000-0005-0000-0000-0000E36D0000}"/>
    <cellStyle name="Title 6 7 3" xfId="24227" xr:uid="{00000000-0005-0000-0000-0000E46D0000}"/>
    <cellStyle name="Title 6 8" xfId="24229" xr:uid="{00000000-0005-0000-0000-0000E56D0000}"/>
    <cellStyle name="Title 6 9" xfId="24216" xr:uid="{00000000-0005-0000-0000-0000E66D0000}"/>
    <cellStyle name="Title 7" xfId="914" xr:uid="{00000000-0005-0000-0000-0000E76D0000}"/>
    <cellStyle name="Title 7 2" xfId="3812" xr:uid="{00000000-0005-0000-0000-0000E86D0000}"/>
    <cellStyle name="Title 7 2 2" xfId="24231" xr:uid="{00000000-0005-0000-0000-0000E96D0000}"/>
    <cellStyle name="Title 7 3" xfId="24230" xr:uid="{00000000-0005-0000-0000-0000EA6D0000}"/>
    <cellStyle name="Title 8" xfId="24232" xr:uid="{00000000-0005-0000-0000-0000EB6D0000}"/>
    <cellStyle name="Title 9" xfId="24085" xr:uid="{00000000-0005-0000-0000-0000EC6D0000}"/>
    <cellStyle name="Total 10" xfId="790" xr:uid="{00000000-0005-0000-0000-0000ED6D0000}"/>
    <cellStyle name="Total 10 2" xfId="24235" xr:uid="{00000000-0005-0000-0000-0000EE6D0000}"/>
    <cellStyle name="Total 10 3" xfId="24234" xr:uid="{00000000-0005-0000-0000-0000EF6D0000}"/>
    <cellStyle name="Total 11" xfId="791" xr:uid="{00000000-0005-0000-0000-0000F06D0000}"/>
    <cellStyle name="Total 11 2" xfId="24237" xr:uid="{00000000-0005-0000-0000-0000F16D0000}"/>
    <cellStyle name="Total 11 3" xfId="24236" xr:uid="{00000000-0005-0000-0000-0000F26D0000}"/>
    <cellStyle name="Total 12" xfId="915" xr:uid="{00000000-0005-0000-0000-0000F36D0000}"/>
    <cellStyle name="Total 12 2" xfId="24238" xr:uid="{00000000-0005-0000-0000-0000F46D0000}"/>
    <cellStyle name="Total 13" xfId="916" xr:uid="{00000000-0005-0000-0000-0000F56D0000}"/>
    <cellStyle name="Total 13 2" xfId="24233" xr:uid="{00000000-0005-0000-0000-0000F66D0000}"/>
    <cellStyle name="Total 14" xfId="997" xr:uid="{00000000-0005-0000-0000-0000F76D0000}"/>
    <cellStyle name="Total 2" xfId="108" xr:uid="{00000000-0005-0000-0000-0000F86D0000}"/>
    <cellStyle name="Total 2 10" xfId="1710" xr:uid="{00000000-0005-0000-0000-0000F96D0000}"/>
    <cellStyle name="Total 2 10 2" xfId="24241" xr:uid="{00000000-0005-0000-0000-0000FA6D0000}"/>
    <cellStyle name="Total 2 10 3" xfId="24240" xr:uid="{00000000-0005-0000-0000-0000FB6D0000}"/>
    <cellStyle name="Total 2 11" xfId="2045" xr:uid="{00000000-0005-0000-0000-0000FC6D0000}"/>
    <cellStyle name="Total 2 11 2" xfId="24243" xr:uid="{00000000-0005-0000-0000-0000FD6D0000}"/>
    <cellStyle name="Total 2 11 3" xfId="24242" xr:uid="{00000000-0005-0000-0000-0000FE6D0000}"/>
    <cellStyle name="Total 2 12" xfId="2419" xr:uid="{00000000-0005-0000-0000-0000FF6D0000}"/>
    <cellStyle name="Total 2 12 2" xfId="24245" xr:uid="{00000000-0005-0000-0000-0000006E0000}"/>
    <cellStyle name="Total 2 12 3" xfId="24244" xr:uid="{00000000-0005-0000-0000-0000016E0000}"/>
    <cellStyle name="Total 2 13" xfId="2791" xr:uid="{00000000-0005-0000-0000-0000026E0000}"/>
    <cellStyle name="Total 2 13 2" xfId="24247" xr:uid="{00000000-0005-0000-0000-0000036E0000}"/>
    <cellStyle name="Total 2 13 3" xfId="24246" xr:uid="{00000000-0005-0000-0000-0000046E0000}"/>
    <cellStyle name="Total 2 14" xfId="3162" xr:uid="{00000000-0005-0000-0000-0000056E0000}"/>
    <cellStyle name="Total 2 14 2" xfId="24249" xr:uid="{00000000-0005-0000-0000-0000066E0000}"/>
    <cellStyle name="Total 2 14 3" xfId="24248" xr:uid="{00000000-0005-0000-0000-0000076E0000}"/>
    <cellStyle name="Total 2 15" xfId="3533" xr:uid="{00000000-0005-0000-0000-0000086E0000}"/>
    <cellStyle name="Total 2 15 2" xfId="24251" xr:uid="{00000000-0005-0000-0000-0000096E0000}"/>
    <cellStyle name="Total 2 15 3" xfId="24250" xr:uid="{00000000-0005-0000-0000-00000A6E0000}"/>
    <cellStyle name="Total 2 16" xfId="3669" xr:uid="{00000000-0005-0000-0000-00000B6E0000}"/>
    <cellStyle name="Total 2 16 2" xfId="24253" xr:uid="{00000000-0005-0000-0000-00000C6E0000}"/>
    <cellStyle name="Total 2 16 3" xfId="24252" xr:uid="{00000000-0005-0000-0000-00000D6E0000}"/>
    <cellStyle name="Total 2 17" xfId="24254" xr:uid="{00000000-0005-0000-0000-00000E6E0000}"/>
    <cellStyle name="Total 2 17 2" xfId="24255" xr:uid="{00000000-0005-0000-0000-00000F6E0000}"/>
    <cellStyle name="Total 2 18" xfId="24256" xr:uid="{00000000-0005-0000-0000-0000106E0000}"/>
    <cellStyle name="Total 2 19" xfId="24239" xr:uid="{00000000-0005-0000-0000-0000116E0000}"/>
    <cellStyle name="Total 2 2" xfId="151" xr:uid="{00000000-0005-0000-0000-0000126E0000}"/>
    <cellStyle name="Total 2 2 2" xfId="169" xr:uid="{00000000-0005-0000-0000-0000136E0000}"/>
    <cellStyle name="Total 2 2 2 2" xfId="24259" xr:uid="{00000000-0005-0000-0000-0000146E0000}"/>
    <cellStyle name="Total 2 2 2 3" xfId="24258" xr:uid="{00000000-0005-0000-0000-0000156E0000}"/>
    <cellStyle name="Total 2 2 3" xfId="333" xr:uid="{00000000-0005-0000-0000-0000166E0000}"/>
    <cellStyle name="Total 2 2 3 2" xfId="24261" xr:uid="{00000000-0005-0000-0000-0000176E0000}"/>
    <cellStyle name="Total 2 2 3 3" xfId="24260" xr:uid="{00000000-0005-0000-0000-0000186E0000}"/>
    <cellStyle name="Total 2 2 4" xfId="2155" xr:uid="{00000000-0005-0000-0000-0000196E0000}"/>
    <cellStyle name="Total 2 2 4 2" xfId="24263" xr:uid="{00000000-0005-0000-0000-00001A6E0000}"/>
    <cellStyle name="Total 2 2 4 3" xfId="24262" xr:uid="{00000000-0005-0000-0000-00001B6E0000}"/>
    <cellStyle name="Total 2 2 5" xfId="2529" xr:uid="{00000000-0005-0000-0000-00001C6E0000}"/>
    <cellStyle name="Total 2 2 5 2" xfId="24265" xr:uid="{00000000-0005-0000-0000-00001D6E0000}"/>
    <cellStyle name="Total 2 2 5 3" xfId="24264" xr:uid="{00000000-0005-0000-0000-00001E6E0000}"/>
    <cellStyle name="Total 2 2 6" xfId="2901" xr:uid="{00000000-0005-0000-0000-00001F6E0000}"/>
    <cellStyle name="Total 2 2 6 2" xfId="24267" xr:uid="{00000000-0005-0000-0000-0000206E0000}"/>
    <cellStyle name="Total 2 2 6 3" xfId="24266" xr:uid="{00000000-0005-0000-0000-0000216E0000}"/>
    <cellStyle name="Total 2 2 7" xfId="3273" xr:uid="{00000000-0005-0000-0000-0000226E0000}"/>
    <cellStyle name="Total 2 2 7 2" xfId="24269" xr:uid="{00000000-0005-0000-0000-0000236E0000}"/>
    <cellStyle name="Total 2 2 7 3" xfId="24268" xr:uid="{00000000-0005-0000-0000-0000246E0000}"/>
    <cellStyle name="Total 2 2 8" xfId="24270" xr:uid="{00000000-0005-0000-0000-0000256E0000}"/>
    <cellStyle name="Total 2 2 9" xfId="24257" xr:uid="{00000000-0005-0000-0000-0000266E0000}"/>
    <cellStyle name="Total 2 20" xfId="24503" xr:uid="{00000000-0005-0000-0000-0000276E0000}"/>
    <cellStyle name="Total 2 3" xfId="315" xr:uid="{00000000-0005-0000-0000-0000286E0000}"/>
    <cellStyle name="Total 2 3 2" xfId="1331" xr:uid="{00000000-0005-0000-0000-0000296E0000}"/>
    <cellStyle name="Total 2 3 2 2" xfId="24272" xr:uid="{00000000-0005-0000-0000-00002A6E0000}"/>
    <cellStyle name="Total 2 3 3" xfId="24271" xr:uid="{00000000-0005-0000-0000-00002B6E0000}"/>
    <cellStyle name="Total 2 4" xfId="511" xr:uid="{00000000-0005-0000-0000-00002C6E0000}"/>
    <cellStyle name="Total 2 4 2" xfId="24274" xr:uid="{00000000-0005-0000-0000-00002D6E0000}"/>
    <cellStyle name="Total 2 4 3" xfId="24273" xr:uid="{00000000-0005-0000-0000-00002E6E0000}"/>
    <cellStyle name="Total 2 5" xfId="634" xr:uid="{00000000-0005-0000-0000-00002F6E0000}"/>
    <cellStyle name="Total 2 5 2" xfId="24276" xr:uid="{00000000-0005-0000-0000-0000306E0000}"/>
    <cellStyle name="Total 2 5 3" xfId="24275" xr:uid="{00000000-0005-0000-0000-0000316E0000}"/>
    <cellStyle name="Total 2 6" xfId="792" xr:uid="{00000000-0005-0000-0000-0000326E0000}"/>
    <cellStyle name="Total 2 6 2" xfId="24278" xr:uid="{00000000-0005-0000-0000-0000336E0000}"/>
    <cellStyle name="Total 2 6 3" xfId="24277" xr:uid="{00000000-0005-0000-0000-0000346E0000}"/>
    <cellStyle name="Total 2 7" xfId="793" xr:uid="{00000000-0005-0000-0000-0000356E0000}"/>
    <cellStyle name="Total 2 7 2" xfId="24280" xr:uid="{00000000-0005-0000-0000-0000366E0000}"/>
    <cellStyle name="Total 2 7 3" xfId="24279" xr:uid="{00000000-0005-0000-0000-0000376E0000}"/>
    <cellStyle name="Total 2 8" xfId="917" xr:uid="{00000000-0005-0000-0000-0000386E0000}"/>
    <cellStyle name="Total 2 8 2" xfId="1435" xr:uid="{00000000-0005-0000-0000-0000396E0000}"/>
    <cellStyle name="Total 2 8 2 2" xfId="24282" xr:uid="{00000000-0005-0000-0000-00003A6E0000}"/>
    <cellStyle name="Total 2 8 3" xfId="24281" xr:uid="{00000000-0005-0000-0000-00003B6E0000}"/>
    <cellStyle name="Total 2 9" xfId="998" xr:uid="{00000000-0005-0000-0000-00003C6E0000}"/>
    <cellStyle name="Total 2 9 2" xfId="1540" xr:uid="{00000000-0005-0000-0000-00003D6E0000}"/>
    <cellStyle name="Total 2 9 2 2" xfId="24284" xr:uid="{00000000-0005-0000-0000-00003E6E0000}"/>
    <cellStyle name="Total 2 9 3" xfId="24283" xr:uid="{00000000-0005-0000-0000-00003F6E0000}"/>
    <cellStyle name="Total 3" xfId="210" xr:uid="{00000000-0005-0000-0000-0000406E0000}"/>
    <cellStyle name="Total 3 10" xfId="3714" xr:uid="{00000000-0005-0000-0000-0000416E0000}"/>
    <cellStyle name="Total 3 10 2" xfId="24287" xr:uid="{00000000-0005-0000-0000-0000426E0000}"/>
    <cellStyle name="Total 3 10 3" xfId="24286" xr:uid="{00000000-0005-0000-0000-0000436E0000}"/>
    <cellStyle name="Total 3 11" xfId="24288" xr:uid="{00000000-0005-0000-0000-0000446E0000}"/>
    <cellStyle name="Total 3 11 2" xfId="24289" xr:uid="{00000000-0005-0000-0000-0000456E0000}"/>
    <cellStyle name="Total 3 12" xfId="24290" xr:uid="{00000000-0005-0000-0000-0000466E0000}"/>
    <cellStyle name="Total 3 13" xfId="24285" xr:uid="{00000000-0005-0000-0000-0000476E0000}"/>
    <cellStyle name="Total 3 2" xfId="1487" xr:uid="{00000000-0005-0000-0000-0000486E0000}"/>
    <cellStyle name="Total 3 2 2" xfId="1821" xr:uid="{00000000-0005-0000-0000-0000496E0000}"/>
    <cellStyle name="Total 3 2 2 2" xfId="24293" xr:uid="{00000000-0005-0000-0000-00004A6E0000}"/>
    <cellStyle name="Total 3 2 2 3" xfId="24292" xr:uid="{00000000-0005-0000-0000-00004B6E0000}"/>
    <cellStyle name="Total 3 2 3" xfId="2196" xr:uid="{00000000-0005-0000-0000-00004C6E0000}"/>
    <cellStyle name="Total 3 2 3 2" xfId="24295" xr:uid="{00000000-0005-0000-0000-00004D6E0000}"/>
    <cellStyle name="Total 3 2 3 3" xfId="24294" xr:uid="{00000000-0005-0000-0000-00004E6E0000}"/>
    <cellStyle name="Total 3 2 4" xfId="2570" xr:uid="{00000000-0005-0000-0000-00004F6E0000}"/>
    <cellStyle name="Total 3 2 4 2" xfId="24297" xr:uid="{00000000-0005-0000-0000-0000506E0000}"/>
    <cellStyle name="Total 3 2 4 3" xfId="24296" xr:uid="{00000000-0005-0000-0000-0000516E0000}"/>
    <cellStyle name="Total 3 2 5" xfId="2942" xr:uid="{00000000-0005-0000-0000-0000526E0000}"/>
    <cellStyle name="Total 3 2 5 2" xfId="24299" xr:uid="{00000000-0005-0000-0000-0000536E0000}"/>
    <cellStyle name="Total 3 2 5 3" xfId="24298" xr:uid="{00000000-0005-0000-0000-0000546E0000}"/>
    <cellStyle name="Total 3 2 6" xfId="3314" xr:uid="{00000000-0005-0000-0000-0000556E0000}"/>
    <cellStyle name="Total 3 2 6 2" xfId="24301" xr:uid="{00000000-0005-0000-0000-0000566E0000}"/>
    <cellStyle name="Total 3 2 6 3" xfId="24300" xr:uid="{00000000-0005-0000-0000-0000576E0000}"/>
    <cellStyle name="Total 3 2 7" xfId="24302" xr:uid="{00000000-0005-0000-0000-0000586E0000}"/>
    <cellStyle name="Total 3 2 8" xfId="24291" xr:uid="{00000000-0005-0000-0000-0000596E0000}"/>
    <cellStyle name="Total 3 3" xfId="1614" xr:uid="{00000000-0005-0000-0000-00005A6E0000}"/>
    <cellStyle name="Total 3 3 2" xfId="1898" xr:uid="{00000000-0005-0000-0000-00005B6E0000}"/>
    <cellStyle name="Total 3 3 2 2" xfId="24305" xr:uid="{00000000-0005-0000-0000-00005C6E0000}"/>
    <cellStyle name="Total 3 3 2 3" xfId="24304" xr:uid="{00000000-0005-0000-0000-00005D6E0000}"/>
    <cellStyle name="Total 3 3 3" xfId="2273" xr:uid="{00000000-0005-0000-0000-00005E6E0000}"/>
    <cellStyle name="Total 3 3 3 2" xfId="24307" xr:uid="{00000000-0005-0000-0000-00005F6E0000}"/>
    <cellStyle name="Total 3 3 3 3" xfId="24306" xr:uid="{00000000-0005-0000-0000-0000606E0000}"/>
    <cellStyle name="Total 3 3 4" xfId="2646" xr:uid="{00000000-0005-0000-0000-0000616E0000}"/>
    <cellStyle name="Total 3 3 4 2" xfId="24309" xr:uid="{00000000-0005-0000-0000-0000626E0000}"/>
    <cellStyle name="Total 3 3 4 3" xfId="24308" xr:uid="{00000000-0005-0000-0000-0000636E0000}"/>
    <cellStyle name="Total 3 3 5" xfId="3019" xr:uid="{00000000-0005-0000-0000-0000646E0000}"/>
    <cellStyle name="Total 3 3 5 2" xfId="24311" xr:uid="{00000000-0005-0000-0000-0000656E0000}"/>
    <cellStyle name="Total 3 3 5 3" xfId="24310" xr:uid="{00000000-0005-0000-0000-0000666E0000}"/>
    <cellStyle name="Total 3 3 6" xfId="3390" xr:uid="{00000000-0005-0000-0000-0000676E0000}"/>
    <cellStyle name="Total 3 3 6 2" xfId="24313" xr:uid="{00000000-0005-0000-0000-0000686E0000}"/>
    <cellStyle name="Total 3 3 6 3" xfId="24312" xr:uid="{00000000-0005-0000-0000-0000696E0000}"/>
    <cellStyle name="Total 3 3 7" xfId="24314" xr:uid="{00000000-0005-0000-0000-00006A6E0000}"/>
    <cellStyle name="Total 3 3 8" xfId="24303" xr:uid="{00000000-0005-0000-0000-00006B6E0000}"/>
    <cellStyle name="Total 3 4" xfId="1757" xr:uid="{00000000-0005-0000-0000-00006C6E0000}"/>
    <cellStyle name="Total 3 4 2" xfId="1942" xr:uid="{00000000-0005-0000-0000-00006D6E0000}"/>
    <cellStyle name="Total 3 4 2 2" xfId="24317" xr:uid="{00000000-0005-0000-0000-00006E6E0000}"/>
    <cellStyle name="Total 3 4 2 3" xfId="24316" xr:uid="{00000000-0005-0000-0000-00006F6E0000}"/>
    <cellStyle name="Total 3 4 3" xfId="2317" xr:uid="{00000000-0005-0000-0000-0000706E0000}"/>
    <cellStyle name="Total 3 4 3 2" xfId="24319" xr:uid="{00000000-0005-0000-0000-0000716E0000}"/>
    <cellStyle name="Total 3 4 3 3" xfId="24318" xr:uid="{00000000-0005-0000-0000-0000726E0000}"/>
    <cellStyle name="Total 3 4 4" xfId="2690" xr:uid="{00000000-0005-0000-0000-0000736E0000}"/>
    <cellStyle name="Total 3 4 4 2" xfId="24321" xr:uid="{00000000-0005-0000-0000-0000746E0000}"/>
    <cellStyle name="Total 3 4 4 3" xfId="24320" xr:uid="{00000000-0005-0000-0000-0000756E0000}"/>
    <cellStyle name="Total 3 4 5" xfId="3063" xr:uid="{00000000-0005-0000-0000-0000766E0000}"/>
    <cellStyle name="Total 3 4 5 2" xfId="24323" xr:uid="{00000000-0005-0000-0000-0000776E0000}"/>
    <cellStyle name="Total 3 4 5 3" xfId="24322" xr:uid="{00000000-0005-0000-0000-0000786E0000}"/>
    <cellStyle name="Total 3 4 6" xfId="3434" xr:uid="{00000000-0005-0000-0000-0000796E0000}"/>
    <cellStyle name="Total 3 4 6 2" xfId="24325" xr:uid="{00000000-0005-0000-0000-00007A6E0000}"/>
    <cellStyle name="Total 3 4 6 3" xfId="24324" xr:uid="{00000000-0005-0000-0000-00007B6E0000}"/>
    <cellStyle name="Total 3 4 7" xfId="24326" xr:uid="{00000000-0005-0000-0000-00007C6E0000}"/>
    <cellStyle name="Total 3 4 8" xfId="24315" xr:uid="{00000000-0005-0000-0000-00007D6E0000}"/>
    <cellStyle name="Total 3 5" xfId="2092" xr:uid="{00000000-0005-0000-0000-00007E6E0000}"/>
    <cellStyle name="Total 3 5 2" xfId="24328" xr:uid="{00000000-0005-0000-0000-00007F6E0000}"/>
    <cellStyle name="Total 3 5 3" xfId="24327" xr:uid="{00000000-0005-0000-0000-0000806E0000}"/>
    <cellStyle name="Total 3 6" xfId="2466" xr:uid="{00000000-0005-0000-0000-0000816E0000}"/>
    <cellStyle name="Total 3 6 2" xfId="24330" xr:uid="{00000000-0005-0000-0000-0000826E0000}"/>
    <cellStyle name="Total 3 6 3" xfId="24329" xr:uid="{00000000-0005-0000-0000-0000836E0000}"/>
    <cellStyle name="Total 3 7" xfId="2838" xr:uid="{00000000-0005-0000-0000-0000846E0000}"/>
    <cellStyle name="Total 3 7 2" xfId="24332" xr:uid="{00000000-0005-0000-0000-0000856E0000}"/>
    <cellStyle name="Total 3 7 3" xfId="24331" xr:uid="{00000000-0005-0000-0000-0000866E0000}"/>
    <cellStyle name="Total 3 8" xfId="3209" xr:uid="{00000000-0005-0000-0000-0000876E0000}"/>
    <cellStyle name="Total 3 8 2" xfId="24334" xr:uid="{00000000-0005-0000-0000-0000886E0000}"/>
    <cellStyle name="Total 3 8 3" xfId="24333" xr:uid="{00000000-0005-0000-0000-0000896E0000}"/>
    <cellStyle name="Total 3 9" xfId="3578" xr:uid="{00000000-0005-0000-0000-00008A6E0000}"/>
    <cellStyle name="Total 3 9 2" xfId="24336" xr:uid="{00000000-0005-0000-0000-00008B6E0000}"/>
    <cellStyle name="Total 3 9 3" xfId="24335" xr:uid="{00000000-0005-0000-0000-00008C6E0000}"/>
    <cellStyle name="Total 4" xfId="274" xr:uid="{00000000-0005-0000-0000-00008D6E0000}"/>
    <cellStyle name="Total 4 10" xfId="3758" xr:uid="{00000000-0005-0000-0000-00008E6E0000}"/>
    <cellStyle name="Total 4 10 2" xfId="24338" xr:uid="{00000000-0005-0000-0000-00008F6E0000}"/>
    <cellStyle name="Total 4 10 3" xfId="24337" xr:uid="{00000000-0005-0000-0000-0000906E0000}"/>
    <cellStyle name="Total 4 11" xfId="1292" xr:uid="{00000000-0005-0000-0000-0000916E0000}"/>
    <cellStyle name="Total 4 11 2" xfId="24340" xr:uid="{00000000-0005-0000-0000-0000926E0000}"/>
    <cellStyle name="Total 4 11 3" xfId="24339" xr:uid="{00000000-0005-0000-0000-0000936E0000}"/>
    <cellStyle name="Total 4 12" xfId="24341" xr:uid="{00000000-0005-0000-0000-0000946E0000}"/>
    <cellStyle name="Total 4 2" xfId="1532" xr:uid="{00000000-0005-0000-0000-0000956E0000}"/>
    <cellStyle name="Total 4 2 2" xfId="24343" xr:uid="{00000000-0005-0000-0000-0000966E0000}"/>
    <cellStyle name="Total 4 2 3" xfId="24342" xr:uid="{00000000-0005-0000-0000-0000976E0000}"/>
    <cellStyle name="Total 4 3" xfId="1657" xr:uid="{00000000-0005-0000-0000-0000986E0000}"/>
    <cellStyle name="Total 4 3 2" xfId="24345" xr:uid="{00000000-0005-0000-0000-0000996E0000}"/>
    <cellStyle name="Total 4 3 3" xfId="24344" xr:uid="{00000000-0005-0000-0000-00009A6E0000}"/>
    <cellStyle name="Total 4 4" xfId="1764" xr:uid="{00000000-0005-0000-0000-00009B6E0000}"/>
    <cellStyle name="Total 4 4 2" xfId="24347" xr:uid="{00000000-0005-0000-0000-00009C6E0000}"/>
    <cellStyle name="Total 4 4 3" xfId="24346" xr:uid="{00000000-0005-0000-0000-00009D6E0000}"/>
    <cellStyle name="Total 4 5" xfId="2099" xr:uid="{00000000-0005-0000-0000-00009E6E0000}"/>
    <cellStyle name="Total 4 5 2" xfId="24349" xr:uid="{00000000-0005-0000-0000-00009F6E0000}"/>
    <cellStyle name="Total 4 5 3" xfId="24348" xr:uid="{00000000-0005-0000-0000-0000A06E0000}"/>
    <cellStyle name="Total 4 6" xfId="2473" xr:uid="{00000000-0005-0000-0000-0000A16E0000}"/>
    <cellStyle name="Total 4 6 2" xfId="24351" xr:uid="{00000000-0005-0000-0000-0000A26E0000}"/>
    <cellStyle name="Total 4 6 3" xfId="24350" xr:uid="{00000000-0005-0000-0000-0000A36E0000}"/>
    <cellStyle name="Total 4 7" xfId="2845" xr:uid="{00000000-0005-0000-0000-0000A46E0000}"/>
    <cellStyle name="Total 4 7 2" xfId="24353" xr:uid="{00000000-0005-0000-0000-0000A56E0000}"/>
    <cellStyle name="Total 4 7 3" xfId="24352" xr:uid="{00000000-0005-0000-0000-0000A66E0000}"/>
    <cellStyle name="Total 4 8" xfId="3216" xr:uid="{00000000-0005-0000-0000-0000A76E0000}"/>
    <cellStyle name="Total 4 8 2" xfId="24355" xr:uid="{00000000-0005-0000-0000-0000A86E0000}"/>
    <cellStyle name="Total 4 8 3" xfId="24354" xr:uid="{00000000-0005-0000-0000-0000A96E0000}"/>
    <cellStyle name="Total 4 9" xfId="3621" xr:uid="{00000000-0005-0000-0000-0000AA6E0000}"/>
    <cellStyle name="Total 4 9 2" xfId="5216" xr:uid="{00000000-0005-0000-0000-0000AB6E0000}"/>
    <cellStyle name="Total 4 9 2 2" xfId="24356" xr:uid="{00000000-0005-0000-0000-0000AC6E0000}"/>
    <cellStyle name="Total 4 9 3" xfId="5124" xr:uid="{00000000-0005-0000-0000-0000AD6E0000}"/>
    <cellStyle name="Total 5" xfId="512" xr:uid="{00000000-0005-0000-0000-0000AE6E0000}"/>
    <cellStyle name="Total 5 2" xfId="1881" xr:uid="{00000000-0005-0000-0000-0000AF6E0000}"/>
    <cellStyle name="Total 5 2 2" xfId="5218" xr:uid="{00000000-0005-0000-0000-0000B06E0000}"/>
    <cellStyle name="Total 5 2 2 2" xfId="24357" xr:uid="{00000000-0005-0000-0000-0000B16E0000}"/>
    <cellStyle name="Total 5 2 3" xfId="5126" xr:uid="{00000000-0005-0000-0000-0000B26E0000}"/>
    <cellStyle name="Total 5 3" xfId="2256" xr:uid="{00000000-0005-0000-0000-0000B36E0000}"/>
    <cellStyle name="Total 5 3 2" xfId="5219" xr:uid="{00000000-0005-0000-0000-0000B46E0000}"/>
    <cellStyle name="Total 5 3 2 2" xfId="24358" xr:uid="{00000000-0005-0000-0000-0000B56E0000}"/>
    <cellStyle name="Total 5 3 3" xfId="5127" xr:uid="{00000000-0005-0000-0000-0000B66E0000}"/>
    <cellStyle name="Total 5 4" xfId="2629" xr:uid="{00000000-0005-0000-0000-0000B76E0000}"/>
    <cellStyle name="Total 5 4 2" xfId="5220" xr:uid="{00000000-0005-0000-0000-0000B86E0000}"/>
    <cellStyle name="Total 5 4 2 2" xfId="24359" xr:uid="{00000000-0005-0000-0000-0000B96E0000}"/>
    <cellStyle name="Total 5 4 3" xfId="5128" xr:uid="{00000000-0005-0000-0000-0000BA6E0000}"/>
    <cellStyle name="Total 5 5" xfId="3002" xr:uid="{00000000-0005-0000-0000-0000BB6E0000}"/>
    <cellStyle name="Total 5 5 2" xfId="5221" xr:uid="{00000000-0005-0000-0000-0000BC6E0000}"/>
    <cellStyle name="Total 5 5 2 2" xfId="24360" xr:uid="{00000000-0005-0000-0000-0000BD6E0000}"/>
    <cellStyle name="Total 5 5 3" xfId="5129" xr:uid="{00000000-0005-0000-0000-0000BE6E0000}"/>
    <cellStyle name="Total 5 6" xfId="3373" xr:uid="{00000000-0005-0000-0000-0000BF6E0000}"/>
    <cellStyle name="Total 5 6 2" xfId="5222" xr:uid="{00000000-0005-0000-0000-0000C06E0000}"/>
    <cellStyle name="Total 5 6 2 2" xfId="24361" xr:uid="{00000000-0005-0000-0000-0000C16E0000}"/>
    <cellStyle name="Total 5 6 3" xfId="5130" xr:uid="{00000000-0005-0000-0000-0000C26E0000}"/>
    <cellStyle name="Total 5 7" xfId="5217" xr:uid="{00000000-0005-0000-0000-0000C36E0000}"/>
    <cellStyle name="Total 5 7 2" xfId="24363" xr:uid="{00000000-0005-0000-0000-0000C46E0000}"/>
    <cellStyle name="Total 5 7 3" xfId="24362" xr:uid="{00000000-0005-0000-0000-0000C56E0000}"/>
    <cellStyle name="Total 5 8" xfId="5125" xr:uid="{00000000-0005-0000-0000-0000C66E0000}"/>
    <cellStyle name="Total 6" xfId="513" xr:uid="{00000000-0005-0000-0000-0000C76E0000}"/>
    <cellStyle name="Total 6 2" xfId="2008" xr:uid="{00000000-0005-0000-0000-0000C86E0000}"/>
    <cellStyle name="Total 6 2 2" xfId="5224" xr:uid="{00000000-0005-0000-0000-0000C96E0000}"/>
    <cellStyle name="Total 6 2 2 2" xfId="24364" xr:uid="{00000000-0005-0000-0000-0000CA6E0000}"/>
    <cellStyle name="Total 6 2 3" xfId="5132" xr:uid="{00000000-0005-0000-0000-0000CB6E0000}"/>
    <cellStyle name="Total 6 3" xfId="2383" xr:uid="{00000000-0005-0000-0000-0000CC6E0000}"/>
    <cellStyle name="Total 6 3 2" xfId="5225" xr:uid="{00000000-0005-0000-0000-0000CD6E0000}"/>
    <cellStyle name="Total 6 3 2 2" xfId="24365" xr:uid="{00000000-0005-0000-0000-0000CE6E0000}"/>
    <cellStyle name="Total 6 3 3" xfId="5133" xr:uid="{00000000-0005-0000-0000-0000CF6E0000}"/>
    <cellStyle name="Total 6 4" xfId="2756" xr:uid="{00000000-0005-0000-0000-0000D06E0000}"/>
    <cellStyle name="Total 6 4 2" xfId="5226" xr:uid="{00000000-0005-0000-0000-0000D16E0000}"/>
    <cellStyle name="Total 6 4 2 2" xfId="24366" xr:uid="{00000000-0005-0000-0000-0000D26E0000}"/>
    <cellStyle name="Total 6 4 3" xfId="5134" xr:uid="{00000000-0005-0000-0000-0000D36E0000}"/>
    <cellStyle name="Total 6 5" xfId="3129" xr:uid="{00000000-0005-0000-0000-0000D46E0000}"/>
    <cellStyle name="Total 6 5 2" xfId="5227" xr:uid="{00000000-0005-0000-0000-0000D56E0000}"/>
    <cellStyle name="Total 6 5 2 2" xfId="24367" xr:uid="{00000000-0005-0000-0000-0000D66E0000}"/>
    <cellStyle name="Total 6 5 3" xfId="5135" xr:uid="{00000000-0005-0000-0000-0000D76E0000}"/>
    <cellStyle name="Total 6 6" xfId="3500" xr:uid="{00000000-0005-0000-0000-0000D86E0000}"/>
    <cellStyle name="Total 6 6 2" xfId="5228" xr:uid="{00000000-0005-0000-0000-0000D96E0000}"/>
    <cellStyle name="Total 6 6 2 2" xfId="24368" xr:uid="{00000000-0005-0000-0000-0000DA6E0000}"/>
    <cellStyle name="Total 6 6 3" xfId="5136" xr:uid="{00000000-0005-0000-0000-0000DB6E0000}"/>
    <cellStyle name="Total 6 7" xfId="3806" xr:uid="{00000000-0005-0000-0000-0000DC6E0000}"/>
    <cellStyle name="Total 6 7 2" xfId="5229" xr:uid="{00000000-0005-0000-0000-0000DD6E0000}"/>
    <cellStyle name="Total 6 7 2 2" xfId="24369" xr:uid="{00000000-0005-0000-0000-0000DE6E0000}"/>
    <cellStyle name="Total 6 7 3" xfId="5137" xr:uid="{00000000-0005-0000-0000-0000DF6E0000}"/>
    <cellStyle name="Total 6 8" xfId="5223" xr:uid="{00000000-0005-0000-0000-0000E06E0000}"/>
    <cellStyle name="Total 6 8 2" xfId="24371" xr:uid="{00000000-0005-0000-0000-0000E16E0000}"/>
    <cellStyle name="Total 6 8 3" xfId="24370" xr:uid="{00000000-0005-0000-0000-0000E26E0000}"/>
    <cellStyle name="Total 6 9" xfId="5131" xr:uid="{00000000-0005-0000-0000-0000E36E0000}"/>
    <cellStyle name="Total 7" xfId="514" xr:uid="{00000000-0005-0000-0000-0000E46E0000}"/>
    <cellStyle name="Total 7 2" xfId="5230" xr:uid="{00000000-0005-0000-0000-0000E56E0000}"/>
    <cellStyle name="Total 7 2 2" xfId="24372" xr:uid="{00000000-0005-0000-0000-0000E66E0000}"/>
    <cellStyle name="Total 7 3" xfId="5138" xr:uid="{00000000-0005-0000-0000-0000E76E0000}"/>
    <cellStyle name="Total 8" xfId="635" xr:uid="{00000000-0005-0000-0000-0000E86E0000}"/>
    <cellStyle name="Total 8 2" xfId="5231" xr:uid="{00000000-0005-0000-0000-0000E96E0000}"/>
    <cellStyle name="Total 8 2 2" xfId="24373" xr:uid="{00000000-0005-0000-0000-0000EA6E0000}"/>
    <cellStyle name="Total 8 3" xfId="5139" xr:uid="{00000000-0005-0000-0000-0000EB6E0000}"/>
    <cellStyle name="Total 9" xfId="636" xr:uid="{00000000-0005-0000-0000-0000EC6E0000}"/>
    <cellStyle name="Total 9 2" xfId="5232" xr:uid="{00000000-0005-0000-0000-0000ED6E0000}"/>
    <cellStyle name="Total 9 2 2" xfId="24374" xr:uid="{00000000-0005-0000-0000-0000EE6E0000}"/>
    <cellStyle name="Total 9 3" xfId="5140" xr:uid="{00000000-0005-0000-0000-0000EF6E0000}"/>
    <cellStyle name="Warning Text 10" xfId="794" xr:uid="{00000000-0005-0000-0000-0000F06E0000}"/>
    <cellStyle name="Warning Text 10 2" xfId="5233" xr:uid="{00000000-0005-0000-0000-0000F16E0000}"/>
    <cellStyle name="Warning Text 10 2 2" xfId="24376" xr:uid="{00000000-0005-0000-0000-0000F26E0000}"/>
    <cellStyle name="Warning Text 10 3" xfId="5141" xr:uid="{00000000-0005-0000-0000-0000F36E0000}"/>
    <cellStyle name="Warning Text 11" xfId="795" xr:uid="{00000000-0005-0000-0000-0000F46E0000}"/>
    <cellStyle name="Warning Text 11 2" xfId="5234" xr:uid="{00000000-0005-0000-0000-0000F56E0000}"/>
    <cellStyle name="Warning Text 11 2 2" xfId="24377" xr:uid="{00000000-0005-0000-0000-0000F66E0000}"/>
    <cellStyle name="Warning Text 11 3" xfId="5142" xr:uid="{00000000-0005-0000-0000-0000F76E0000}"/>
    <cellStyle name="Warning Text 12" xfId="918" xr:uid="{00000000-0005-0000-0000-0000F86E0000}"/>
    <cellStyle name="Warning Text 12 2" xfId="24378" xr:uid="{00000000-0005-0000-0000-0000F96E0000}"/>
    <cellStyle name="Warning Text 13" xfId="919" xr:uid="{00000000-0005-0000-0000-0000FA6E0000}"/>
    <cellStyle name="Warning Text 13 2" xfId="24375" xr:uid="{00000000-0005-0000-0000-0000FB6E0000}"/>
    <cellStyle name="Warning Text 14" xfId="999" xr:uid="{00000000-0005-0000-0000-0000FC6E0000}"/>
    <cellStyle name="Warning Text 2" xfId="109" xr:uid="{00000000-0005-0000-0000-0000FD6E0000}"/>
    <cellStyle name="Warning Text 2 10" xfId="1711" xr:uid="{00000000-0005-0000-0000-0000FE6E0000}"/>
    <cellStyle name="Warning Text 2 10 2" xfId="5236" xr:uid="{00000000-0005-0000-0000-0000FF6E0000}"/>
    <cellStyle name="Warning Text 2 10 2 2" xfId="24379" xr:uid="{00000000-0005-0000-0000-0000006F0000}"/>
    <cellStyle name="Warning Text 2 10 3" xfId="5144" xr:uid="{00000000-0005-0000-0000-0000016F0000}"/>
    <cellStyle name="Warning Text 2 11" xfId="2046" xr:uid="{00000000-0005-0000-0000-0000026F0000}"/>
    <cellStyle name="Warning Text 2 11 2" xfId="5237" xr:uid="{00000000-0005-0000-0000-0000036F0000}"/>
    <cellStyle name="Warning Text 2 11 2 2" xfId="24380" xr:uid="{00000000-0005-0000-0000-0000046F0000}"/>
    <cellStyle name="Warning Text 2 11 3" xfId="5145" xr:uid="{00000000-0005-0000-0000-0000056F0000}"/>
    <cellStyle name="Warning Text 2 12" xfId="2420" xr:uid="{00000000-0005-0000-0000-0000066F0000}"/>
    <cellStyle name="Warning Text 2 12 2" xfId="5238" xr:uid="{00000000-0005-0000-0000-0000076F0000}"/>
    <cellStyle name="Warning Text 2 12 2 2" xfId="24381" xr:uid="{00000000-0005-0000-0000-0000086F0000}"/>
    <cellStyle name="Warning Text 2 12 3" xfId="5146" xr:uid="{00000000-0005-0000-0000-0000096F0000}"/>
    <cellStyle name="Warning Text 2 13" xfId="2792" xr:uid="{00000000-0005-0000-0000-00000A6F0000}"/>
    <cellStyle name="Warning Text 2 13 2" xfId="5239" xr:uid="{00000000-0005-0000-0000-00000B6F0000}"/>
    <cellStyle name="Warning Text 2 13 2 2" xfId="24382" xr:uid="{00000000-0005-0000-0000-00000C6F0000}"/>
    <cellStyle name="Warning Text 2 13 3" xfId="5147" xr:uid="{00000000-0005-0000-0000-00000D6F0000}"/>
    <cellStyle name="Warning Text 2 14" xfId="3163" xr:uid="{00000000-0005-0000-0000-00000E6F0000}"/>
    <cellStyle name="Warning Text 2 14 2" xfId="5240" xr:uid="{00000000-0005-0000-0000-00000F6F0000}"/>
    <cellStyle name="Warning Text 2 14 2 2" xfId="24383" xr:uid="{00000000-0005-0000-0000-0000106F0000}"/>
    <cellStyle name="Warning Text 2 14 3" xfId="5148" xr:uid="{00000000-0005-0000-0000-0000116F0000}"/>
    <cellStyle name="Warning Text 2 15" xfId="3534" xr:uid="{00000000-0005-0000-0000-0000126F0000}"/>
    <cellStyle name="Warning Text 2 15 2" xfId="5241" xr:uid="{00000000-0005-0000-0000-0000136F0000}"/>
    <cellStyle name="Warning Text 2 15 2 2" xfId="24384" xr:uid="{00000000-0005-0000-0000-0000146F0000}"/>
    <cellStyle name="Warning Text 2 15 3" xfId="5149" xr:uid="{00000000-0005-0000-0000-0000156F0000}"/>
    <cellStyle name="Warning Text 2 16" xfId="3670" xr:uid="{00000000-0005-0000-0000-0000166F0000}"/>
    <cellStyle name="Warning Text 2 16 2" xfId="5242" xr:uid="{00000000-0005-0000-0000-0000176F0000}"/>
    <cellStyle name="Warning Text 2 16 2 2" xfId="24385" xr:uid="{00000000-0005-0000-0000-0000186F0000}"/>
    <cellStyle name="Warning Text 2 16 3" xfId="5150" xr:uid="{00000000-0005-0000-0000-0000196F0000}"/>
    <cellStyle name="Warning Text 2 17" xfId="5235" xr:uid="{00000000-0005-0000-0000-00001A6F0000}"/>
    <cellStyle name="Warning Text 2 17 2" xfId="24387" xr:uid="{00000000-0005-0000-0000-00001B6F0000}"/>
    <cellStyle name="Warning Text 2 17 3" xfId="24386" xr:uid="{00000000-0005-0000-0000-00001C6F0000}"/>
    <cellStyle name="Warning Text 2 18" xfId="5143" xr:uid="{00000000-0005-0000-0000-00001D6F0000}"/>
    <cellStyle name="Warning Text 2 19" xfId="24504" xr:uid="{00000000-0005-0000-0000-00001E6F0000}"/>
    <cellStyle name="Warning Text 2 2" xfId="152" xr:uid="{00000000-0005-0000-0000-00001F6F0000}"/>
    <cellStyle name="Warning Text 2 2 2" xfId="166" xr:uid="{00000000-0005-0000-0000-0000206F0000}"/>
    <cellStyle name="Warning Text 2 2 2 2" xfId="5244" xr:uid="{00000000-0005-0000-0000-0000216F0000}"/>
    <cellStyle name="Warning Text 2 2 2 2 2" xfId="24388" xr:uid="{00000000-0005-0000-0000-0000226F0000}"/>
    <cellStyle name="Warning Text 2 2 2 3" xfId="5152" xr:uid="{00000000-0005-0000-0000-0000236F0000}"/>
    <cellStyle name="Warning Text 2 2 3" xfId="330" xr:uid="{00000000-0005-0000-0000-0000246F0000}"/>
    <cellStyle name="Warning Text 2 2 3 2" xfId="5245" xr:uid="{00000000-0005-0000-0000-0000256F0000}"/>
    <cellStyle name="Warning Text 2 2 3 2 2" xfId="24389" xr:uid="{00000000-0005-0000-0000-0000266F0000}"/>
    <cellStyle name="Warning Text 2 2 3 3" xfId="5153" xr:uid="{00000000-0005-0000-0000-0000276F0000}"/>
    <cellStyle name="Warning Text 2 2 4" xfId="2153" xr:uid="{00000000-0005-0000-0000-0000286F0000}"/>
    <cellStyle name="Warning Text 2 2 4 2" xfId="5246" xr:uid="{00000000-0005-0000-0000-0000296F0000}"/>
    <cellStyle name="Warning Text 2 2 4 2 2" xfId="24390" xr:uid="{00000000-0005-0000-0000-00002A6F0000}"/>
    <cellStyle name="Warning Text 2 2 4 3" xfId="5154" xr:uid="{00000000-0005-0000-0000-00002B6F0000}"/>
    <cellStyle name="Warning Text 2 2 5" xfId="2527" xr:uid="{00000000-0005-0000-0000-00002C6F0000}"/>
    <cellStyle name="Warning Text 2 2 5 2" xfId="5247" xr:uid="{00000000-0005-0000-0000-00002D6F0000}"/>
    <cellStyle name="Warning Text 2 2 5 2 2" xfId="24391" xr:uid="{00000000-0005-0000-0000-00002E6F0000}"/>
    <cellStyle name="Warning Text 2 2 5 3" xfId="5155" xr:uid="{00000000-0005-0000-0000-00002F6F0000}"/>
    <cellStyle name="Warning Text 2 2 6" xfId="2899" xr:uid="{00000000-0005-0000-0000-0000306F0000}"/>
    <cellStyle name="Warning Text 2 2 6 2" xfId="5248" xr:uid="{00000000-0005-0000-0000-0000316F0000}"/>
    <cellStyle name="Warning Text 2 2 6 2 2" xfId="24392" xr:uid="{00000000-0005-0000-0000-0000326F0000}"/>
    <cellStyle name="Warning Text 2 2 6 3" xfId="5156" xr:uid="{00000000-0005-0000-0000-0000336F0000}"/>
    <cellStyle name="Warning Text 2 2 7" xfId="3270" xr:uid="{00000000-0005-0000-0000-0000346F0000}"/>
    <cellStyle name="Warning Text 2 2 7 2" xfId="5249" xr:uid="{00000000-0005-0000-0000-0000356F0000}"/>
    <cellStyle name="Warning Text 2 2 7 2 2" xfId="24393" xr:uid="{00000000-0005-0000-0000-0000366F0000}"/>
    <cellStyle name="Warning Text 2 2 7 3" xfId="5157" xr:uid="{00000000-0005-0000-0000-0000376F0000}"/>
    <cellStyle name="Warning Text 2 2 8" xfId="5243" xr:uid="{00000000-0005-0000-0000-0000386F0000}"/>
    <cellStyle name="Warning Text 2 2 8 2" xfId="24394" xr:uid="{00000000-0005-0000-0000-0000396F0000}"/>
    <cellStyle name="Warning Text 2 2 9" xfId="5151" xr:uid="{00000000-0005-0000-0000-00003A6F0000}"/>
    <cellStyle name="Warning Text 2 3" xfId="316" xr:uid="{00000000-0005-0000-0000-00003B6F0000}"/>
    <cellStyle name="Warning Text 2 3 2" xfId="1329" xr:uid="{00000000-0005-0000-0000-00003C6F0000}"/>
    <cellStyle name="Warning Text 2 3 2 2" xfId="24395" xr:uid="{00000000-0005-0000-0000-00003D6F0000}"/>
    <cellStyle name="Warning Text 2 3 3" xfId="5158" xr:uid="{00000000-0005-0000-0000-00003E6F0000}"/>
    <cellStyle name="Warning Text 2 4" xfId="515" xr:uid="{00000000-0005-0000-0000-00003F6F0000}"/>
    <cellStyle name="Warning Text 2 4 2" xfId="5250" xr:uid="{00000000-0005-0000-0000-0000406F0000}"/>
    <cellStyle name="Warning Text 2 4 2 2" xfId="24396" xr:uid="{00000000-0005-0000-0000-0000416F0000}"/>
    <cellStyle name="Warning Text 2 4 3" xfId="5159" xr:uid="{00000000-0005-0000-0000-0000426F0000}"/>
    <cellStyle name="Warning Text 2 5" xfId="637" xr:uid="{00000000-0005-0000-0000-0000436F0000}"/>
    <cellStyle name="Warning Text 2 5 2" xfId="5251" xr:uid="{00000000-0005-0000-0000-0000446F0000}"/>
    <cellStyle name="Warning Text 2 5 2 2" xfId="24397" xr:uid="{00000000-0005-0000-0000-0000456F0000}"/>
    <cellStyle name="Warning Text 2 5 3" xfId="5160" xr:uid="{00000000-0005-0000-0000-0000466F0000}"/>
    <cellStyle name="Warning Text 2 6" xfId="796" xr:uid="{00000000-0005-0000-0000-0000476F0000}"/>
    <cellStyle name="Warning Text 2 6 2" xfId="5252" xr:uid="{00000000-0005-0000-0000-0000486F0000}"/>
    <cellStyle name="Warning Text 2 6 2 2" xfId="24398" xr:uid="{00000000-0005-0000-0000-0000496F0000}"/>
    <cellStyle name="Warning Text 2 6 3" xfId="5161" xr:uid="{00000000-0005-0000-0000-00004A6F0000}"/>
    <cellStyle name="Warning Text 2 7" xfId="797" xr:uid="{00000000-0005-0000-0000-00004B6F0000}"/>
    <cellStyle name="Warning Text 2 7 2" xfId="5253" xr:uid="{00000000-0005-0000-0000-00004C6F0000}"/>
    <cellStyle name="Warning Text 2 7 2 2" xfId="24399" xr:uid="{00000000-0005-0000-0000-00004D6F0000}"/>
    <cellStyle name="Warning Text 2 7 3" xfId="5162" xr:uid="{00000000-0005-0000-0000-00004E6F0000}"/>
    <cellStyle name="Warning Text 2 8" xfId="920" xr:uid="{00000000-0005-0000-0000-00004F6F0000}"/>
    <cellStyle name="Warning Text 2 8 2" xfId="1436" xr:uid="{00000000-0005-0000-0000-0000506F0000}"/>
    <cellStyle name="Warning Text 2 8 2 2" xfId="24400" xr:uid="{00000000-0005-0000-0000-0000516F0000}"/>
    <cellStyle name="Warning Text 2 8 3" xfId="5163" xr:uid="{00000000-0005-0000-0000-0000526F0000}"/>
    <cellStyle name="Warning Text 2 9" xfId="1000" xr:uid="{00000000-0005-0000-0000-0000536F0000}"/>
    <cellStyle name="Warning Text 2 9 2" xfId="1539" xr:uid="{00000000-0005-0000-0000-0000546F0000}"/>
    <cellStyle name="Warning Text 2 9 2 2" xfId="24401" xr:uid="{00000000-0005-0000-0000-0000556F0000}"/>
    <cellStyle name="Warning Text 2 9 3" xfId="5164" xr:uid="{00000000-0005-0000-0000-0000566F0000}"/>
    <cellStyle name="Warning Text 3" xfId="207" xr:uid="{00000000-0005-0000-0000-0000576F0000}"/>
    <cellStyle name="Warning Text 3 10" xfId="3715" xr:uid="{00000000-0005-0000-0000-0000586F0000}"/>
    <cellStyle name="Warning Text 3 10 2" xfId="5255" xr:uid="{00000000-0005-0000-0000-0000596F0000}"/>
    <cellStyle name="Warning Text 3 10 2 2" xfId="24402" xr:uid="{00000000-0005-0000-0000-00005A6F0000}"/>
    <cellStyle name="Warning Text 3 10 3" xfId="5166" xr:uid="{00000000-0005-0000-0000-00005B6F0000}"/>
    <cellStyle name="Warning Text 3 11" xfId="5254" xr:uid="{00000000-0005-0000-0000-00005C6F0000}"/>
    <cellStyle name="Warning Text 3 11 2" xfId="24404" xr:uid="{00000000-0005-0000-0000-00005D6F0000}"/>
    <cellStyle name="Warning Text 3 11 3" xfId="24403" xr:uid="{00000000-0005-0000-0000-00005E6F0000}"/>
    <cellStyle name="Warning Text 3 12" xfId="5165" xr:uid="{00000000-0005-0000-0000-00005F6F0000}"/>
    <cellStyle name="Warning Text 3 2" xfId="1488" xr:uid="{00000000-0005-0000-0000-0000606F0000}"/>
    <cellStyle name="Warning Text 3 2 2" xfId="1818" xr:uid="{00000000-0005-0000-0000-0000616F0000}"/>
    <cellStyle name="Warning Text 3 2 2 2" xfId="5257" xr:uid="{00000000-0005-0000-0000-0000626F0000}"/>
    <cellStyle name="Warning Text 3 2 2 2 2" xfId="24405" xr:uid="{00000000-0005-0000-0000-0000636F0000}"/>
    <cellStyle name="Warning Text 3 2 2 3" xfId="5168" xr:uid="{00000000-0005-0000-0000-0000646F0000}"/>
    <cellStyle name="Warning Text 3 2 3" xfId="2193" xr:uid="{00000000-0005-0000-0000-0000656F0000}"/>
    <cellStyle name="Warning Text 3 2 3 2" xfId="5258" xr:uid="{00000000-0005-0000-0000-0000666F0000}"/>
    <cellStyle name="Warning Text 3 2 3 2 2" xfId="24406" xr:uid="{00000000-0005-0000-0000-0000676F0000}"/>
    <cellStyle name="Warning Text 3 2 3 3" xfId="5169" xr:uid="{00000000-0005-0000-0000-0000686F0000}"/>
    <cellStyle name="Warning Text 3 2 4" xfId="2567" xr:uid="{00000000-0005-0000-0000-0000696F0000}"/>
    <cellStyle name="Warning Text 3 2 4 2" xfId="5259" xr:uid="{00000000-0005-0000-0000-00006A6F0000}"/>
    <cellStyle name="Warning Text 3 2 4 2 2" xfId="24407" xr:uid="{00000000-0005-0000-0000-00006B6F0000}"/>
    <cellStyle name="Warning Text 3 2 4 3" xfId="5170" xr:uid="{00000000-0005-0000-0000-00006C6F0000}"/>
    <cellStyle name="Warning Text 3 2 5" xfId="2939" xr:uid="{00000000-0005-0000-0000-00006D6F0000}"/>
    <cellStyle name="Warning Text 3 2 5 2" xfId="5260" xr:uid="{00000000-0005-0000-0000-00006E6F0000}"/>
    <cellStyle name="Warning Text 3 2 5 2 2" xfId="24408" xr:uid="{00000000-0005-0000-0000-00006F6F0000}"/>
    <cellStyle name="Warning Text 3 2 5 3" xfId="5171" xr:uid="{00000000-0005-0000-0000-0000706F0000}"/>
    <cellStyle name="Warning Text 3 2 6" xfId="3311" xr:uid="{00000000-0005-0000-0000-0000716F0000}"/>
    <cellStyle name="Warning Text 3 2 6 2" xfId="5261" xr:uid="{00000000-0005-0000-0000-0000726F0000}"/>
    <cellStyle name="Warning Text 3 2 6 2 2" xfId="24409" xr:uid="{00000000-0005-0000-0000-0000736F0000}"/>
    <cellStyle name="Warning Text 3 2 6 3" xfId="5172" xr:uid="{00000000-0005-0000-0000-0000746F0000}"/>
    <cellStyle name="Warning Text 3 2 7" xfId="5256" xr:uid="{00000000-0005-0000-0000-0000756F0000}"/>
    <cellStyle name="Warning Text 3 2 7 2" xfId="24410" xr:uid="{00000000-0005-0000-0000-0000766F0000}"/>
    <cellStyle name="Warning Text 3 2 8" xfId="5167" xr:uid="{00000000-0005-0000-0000-0000776F0000}"/>
    <cellStyle name="Warning Text 3 3" xfId="1615" xr:uid="{00000000-0005-0000-0000-0000786F0000}"/>
    <cellStyle name="Warning Text 3 3 2" xfId="1895" xr:uid="{00000000-0005-0000-0000-0000796F0000}"/>
    <cellStyle name="Warning Text 3 3 2 2" xfId="5263" xr:uid="{00000000-0005-0000-0000-00007A6F0000}"/>
    <cellStyle name="Warning Text 3 3 2 2 2" xfId="24411" xr:uid="{00000000-0005-0000-0000-00007B6F0000}"/>
    <cellStyle name="Warning Text 3 3 2 3" xfId="5174" xr:uid="{00000000-0005-0000-0000-00007C6F0000}"/>
    <cellStyle name="Warning Text 3 3 3" xfId="2270" xr:uid="{00000000-0005-0000-0000-00007D6F0000}"/>
    <cellStyle name="Warning Text 3 3 3 2" xfId="5264" xr:uid="{00000000-0005-0000-0000-00007E6F0000}"/>
    <cellStyle name="Warning Text 3 3 3 2 2" xfId="24412" xr:uid="{00000000-0005-0000-0000-00007F6F0000}"/>
    <cellStyle name="Warning Text 3 3 3 3" xfId="5175" xr:uid="{00000000-0005-0000-0000-0000806F0000}"/>
    <cellStyle name="Warning Text 3 3 4" xfId="2643" xr:uid="{00000000-0005-0000-0000-0000816F0000}"/>
    <cellStyle name="Warning Text 3 3 4 2" xfId="5265" xr:uid="{00000000-0005-0000-0000-0000826F0000}"/>
    <cellStyle name="Warning Text 3 3 4 2 2" xfId="24413" xr:uid="{00000000-0005-0000-0000-0000836F0000}"/>
    <cellStyle name="Warning Text 3 3 4 3" xfId="5176" xr:uid="{00000000-0005-0000-0000-0000846F0000}"/>
    <cellStyle name="Warning Text 3 3 5" xfId="3016" xr:uid="{00000000-0005-0000-0000-0000856F0000}"/>
    <cellStyle name="Warning Text 3 3 5 2" xfId="5266" xr:uid="{00000000-0005-0000-0000-0000866F0000}"/>
    <cellStyle name="Warning Text 3 3 5 2 2" xfId="24414" xr:uid="{00000000-0005-0000-0000-0000876F0000}"/>
    <cellStyle name="Warning Text 3 3 5 3" xfId="5177" xr:uid="{00000000-0005-0000-0000-0000886F0000}"/>
    <cellStyle name="Warning Text 3 3 6" xfId="3387" xr:uid="{00000000-0005-0000-0000-0000896F0000}"/>
    <cellStyle name="Warning Text 3 3 6 2" xfId="5267" xr:uid="{00000000-0005-0000-0000-00008A6F0000}"/>
    <cellStyle name="Warning Text 3 3 6 2 2" xfId="24415" xr:uid="{00000000-0005-0000-0000-00008B6F0000}"/>
    <cellStyle name="Warning Text 3 3 6 3" xfId="5178" xr:uid="{00000000-0005-0000-0000-00008C6F0000}"/>
    <cellStyle name="Warning Text 3 3 7" xfId="5262" xr:uid="{00000000-0005-0000-0000-00008D6F0000}"/>
    <cellStyle name="Warning Text 3 3 7 2" xfId="24416" xr:uid="{00000000-0005-0000-0000-00008E6F0000}"/>
    <cellStyle name="Warning Text 3 3 8" xfId="5173" xr:uid="{00000000-0005-0000-0000-00008F6F0000}"/>
    <cellStyle name="Warning Text 3 4" xfId="1758" xr:uid="{00000000-0005-0000-0000-0000906F0000}"/>
    <cellStyle name="Warning Text 3 4 2" xfId="1939" xr:uid="{00000000-0005-0000-0000-0000916F0000}"/>
    <cellStyle name="Warning Text 3 4 2 2" xfId="5269" xr:uid="{00000000-0005-0000-0000-0000926F0000}"/>
    <cellStyle name="Warning Text 3 4 2 2 2" xfId="24417" xr:uid="{00000000-0005-0000-0000-0000936F0000}"/>
    <cellStyle name="Warning Text 3 4 2 3" xfId="5180" xr:uid="{00000000-0005-0000-0000-0000946F0000}"/>
    <cellStyle name="Warning Text 3 4 3" xfId="2314" xr:uid="{00000000-0005-0000-0000-0000956F0000}"/>
    <cellStyle name="Warning Text 3 4 3 2" xfId="5270" xr:uid="{00000000-0005-0000-0000-0000966F0000}"/>
    <cellStyle name="Warning Text 3 4 3 2 2" xfId="24418" xr:uid="{00000000-0005-0000-0000-0000976F0000}"/>
    <cellStyle name="Warning Text 3 4 3 3" xfId="5181" xr:uid="{00000000-0005-0000-0000-0000986F0000}"/>
    <cellStyle name="Warning Text 3 4 4" xfId="2687" xr:uid="{00000000-0005-0000-0000-0000996F0000}"/>
    <cellStyle name="Warning Text 3 4 4 2" xfId="5271" xr:uid="{00000000-0005-0000-0000-00009A6F0000}"/>
    <cellStyle name="Warning Text 3 4 4 2 2" xfId="24419" xr:uid="{00000000-0005-0000-0000-00009B6F0000}"/>
    <cellStyle name="Warning Text 3 4 4 3" xfId="5182" xr:uid="{00000000-0005-0000-0000-00009C6F0000}"/>
    <cellStyle name="Warning Text 3 4 5" xfId="3060" xr:uid="{00000000-0005-0000-0000-00009D6F0000}"/>
    <cellStyle name="Warning Text 3 4 5 2" xfId="5272" xr:uid="{00000000-0005-0000-0000-00009E6F0000}"/>
    <cellStyle name="Warning Text 3 4 5 2 2" xfId="24420" xr:uid="{00000000-0005-0000-0000-00009F6F0000}"/>
    <cellStyle name="Warning Text 3 4 5 3" xfId="5183" xr:uid="{00000000-0005-0000-0000-0000A06F0000}"/>
    <cellStyle name="Warning Text 3 4 6" xfId="3431" xr:uid="{00000000-0005-0000-0000-0000A16F0000}"/>
    <cellStyle name="Warning Text 3 4 6 2" xfId="5273" xr:uid="{00000000-0005-0000-0000-0000A26F0000}"/>
    <cellStyle name="Warning Text 3 4 6 2 2" xfId="24421" xr:uid="{00000000-0005-0000-0000-0000A36F0000}"/>
    <cellStyle name="Warning Text 3 4 6 3" xfId="5184" xr:uid="{00000000-0005-0000-0000-0000A46F0000}"/>
    <cellStyle name="Warning Text 3 4 7" xfId="5268" xr:uid="{00000000-0005-0000-0000-0000A56F0000}"/>
    <cellStyle name="Warning Text 3 4 7 2" xfId="24422" xr:uid="{00000000-0005-0000-0000-0000A66F0000}"/>
    <cellStyle name="Warning Text 3 4 8" xfId="5179" xr:uid="{00000000-0005-0000-0000-0000A76F0000}"/>
    <cellStyle name="Warning Text 3 5" xfId="2093" xr:uid="{00000000-0005-0000-0000-0000A86F0000}"/>
    <cellStyle name="Warning Text 3 5 2" xfId="5274" xr:uid="{00000000-0005-0000-0000-0000A96F0000}"/>
    <cellStyle name="Warning Text 3 5 2 2" xfId="24423" xr:uid="{00000000-0005-0000-0000-0000AA6F0000}"/>
    <cellStyle name="Warning Text 3 5 3" xfId="5185" xr:uid="{00000000-0005-0000-0000-0000AB6F0000}"/>
    <cellStyle name="Warning Text 3 6" xfId="2467" xr:uid="{00000000-0005-0000-0000-0000AC6F0000}"/>
    <cellStyle name="Warning Text 3 6 2" xfId="5275" xr:uid="{00000000-0005-0000-0000-0000AD6F0000}"/>
    <cellStyle name="Warning Text 3 6 2 2" xfId="24424" xr:uid="{00000000-0005-0000-0000-0000AE6F0000}"/>
    <cellStyle name="Warning Text 3 6 3" xfId="5186" xr:uid="{00000000-0005-0000-0000-0000AF6F0000}"/>
    <cellStyle name="Warning Text 3 7" xfId="2839" xr:uid="{00000000-0005-0000-0000-0000B06F0000}"/>
    <cellStyle name="Warning Text 3 7 2" xfId="5276" xr:uid="{00000000-0005-0000-0000-0000B16F0000}"/>
    <cellStyle name="Warning Text 3 7 2 2" xfId="24425" xr:uid="{00000000-0005-0000-0000-0000B26F0000}"/>
    <cellStyle name="Warning Text 3 7 3" xfId="5187" xr:uid="{00000000-0005-0000-0000-0000B36F0000}"/>
    <cellStyle name="Warning Text 3 8" xfId="3210" xr:uid="{00000000-0005-0000-0000-0000B46F0000}"/>
    <cellStyle name="Warning Text 3 8 2" xfId="5277" xr:uid="{00000000-0005-0000-0000-0000B56F0000}"/>
    <cellStyle name="Warning Text 3 8 2 2" xfId="24426" xr:uid="{00000000-0005-0000-0000-0000B66F0000}"/>
    <cellStyle name="Warning Text 3 8 3" xfId="5188" xr:uid="{00000000-0005-0000-0000-0000B76F0000}"/>
    <cellStyle name="Warning Text 3 9" xfId="3579" xr:uid="{00000000-0005-0000-0000-0000B86F0000}"/>
    <cellStyle name="Warning Text 3 9 2" xfId="5278" xr:uid="{00000000-0005-0000-0000-0000B96F0000}"/>
    <cellStyle name="Warning Text 3 9 2 2" xfId="24427" xr:uid="{00000000-0005-0000-0000-0000BA6F0000}"/>
    <cellStyle name="Warning Text 3 9 3" xfId="5189" xr:uid="{00000000-0005-0000-0000-0000BB6F0000}"/>
    <cellStyle name="Warning Text 4" xfId="275" xr:uid="{00000000-0005-0000-0000-0000BC6F0000}"/>
    <cellStyle name="Warning Text 4 10" xfId="3759" xr:uid="{00000000-0005-0000-0000-0000BD6F0000}"/>
    <cellStyle name="Warning Text 4 10 2" xfId="5279" xr:uid="{00000000-0005-0000-0000-0000BE6F0000}"/>
    <cellStyle name="Warning Text 4 10 2 2" xfId="24428" xr:uid="{00000000-0005-0000-0000-0000BF6F0000}"/>
    <cellStyle name="Warning Text 4 10 3" xfId="5191" xr:uid="{00000000-0005-0000-0000-0000C06F0000}"/>
    <cellStyle name="Warning Text 4 11" xfId="1289" xr:uid="{00000000-0005-0000-0000-0000C16F0000}"/>
    <cellStyle name="Warning Text 4 11 2" xfId="24430" xr:uid="{00000000-0005-0000-0000-0000C26F0000}"/>
    <cellStyle name="Warning Text 4 11 3" xfId="24429" xr:uid="{00000000-0005-0000-0000-0000C36F0000}"/>
    <cellStyle name="Warning Text 4 12" xfId="5190" xr:uid="{00000000-0005-0000-0000-0000C46F0000}"/>
    <cellStyle name="Warning Text 4 2" xfId="1533" xr:uid="{00000000-0005-0000-0000-0000C56F0000}"/>
    <cellStyle name="Warning Text 4 2 2" xfId="5280" xr:uid="{00000000-0005-0000-0000-0000C66F0000}"/>
    <cellStyle name="Warning Text 4 2 2 2" xfId="24431" xr:uid="{00000000-0005-0000-0000-0000C76F0000}"/>
    <cellStyle name="Warning Text 4 2 3" xfId="5192" xr:uid="{00000000-0005-0000-0000-0000C86F0000}"/>
    <cellStyle name="Warning Text 4 3" xfId="1658" xr:uid="{00000000-0005-0000-0000-0000C96F0000}"/>
    <cellStyle name="Warning Text 4 3 2" xfId="5281" xr:uid="{00000000-0005-0000-0000-0000CA6F0000}"/>
    <cellStyle name="Warning Text 4 3 2 2" xfId="24432" xr:uid="{00000000-0005-0000-0000-0000CB6F0000}"/>
    <cellStyle name="Warning Text 4 3 3" xfId="5193" xr:uid="{00000000-0005-0000-0000-0000CC6F0000}"/>
    <cellStyle name="Warning Text 4 4" xfId="1763" xr:uid="{00000000-0005-0000-0000-0000CD6F0000}"/>
    <cellStyle name="Warning Text 4 4 2" xfId="5282" xr:uid="{00000000-0005-0000-0000-0000CE6F0000}"/>
    <cellStyle name="Warning Text 4 4 2 2" xfId="24433" xr:uid="{00000000-0005-0000-0000-0000CF6F0000}"/>
    <cellStyle name="Warning Text 4 4 3" xfId="5194" xr:uid="{00000000-0005-0000-0000-0000D06F0000}"/>
    <cellStyle name="Warning Text 4 5" xfId="2098" xr:uid="{00000000-0005-0000-0000-0000D16F0000}"/>
    <cellStyle name="Warning Text 4 5 2" xfId="5283" xr:uid="{00000000-0005-0000-0000-0000D26F0000}"/>
    <cellStyle name="Warning Text 4 5 2 2" xfId="24434" xr:uid="{00000000-0005-0000-0000-0000D36F0000}"/>
    <cellStyle name="Warning Text 4 5 3" xfId="5195" xr:uid="{00000000-0005-0000-0000-0000D46F0000}"/>
    <cellStyle name="Warning Text 4 6" xfId="2472" xr:uid="{00000000-0005-0000-0000-0000D56F0000}"/>
    <cellStyle name="Warning Text 4 6 2" xfId="5284" xr:uid="{00000000-0005-0000-0000-0000D66F0000}"/>
    <cellStyle name="Warning Text 4 6 2 2" xfId="24435" xr:uid="{00000000-0005-0000-0000-0000D76F0000}"/>
    <cellStyle name="Warning Text 4 6 3" xfId="5196" xr:uid="{00000000-0005-0000-0000-0000D86F0000}"/>
    <cellStyle name="Warning Text 4 7" xfId="2844" xr:uid="{00000000-0005-0000-0000-0000D96F0000}"/>
    <cellStyle name="Warning Text 4 7 2" xfId="5285" xr:uid="{00000000-0005-0000-0000-0000DA6F0000}"/>
    <cellStyle name="Warning Text 4 7 2 2" xfId="24436" xr:uid="{00000000-0005-0000-0000-0000DB6F0000}"/>
    <cellStyle name="Warning Text 4 7 3" xfId="5197" xr:uid="{00000000-0005-0000-0000-0000DC6F0000}"/>
    <cellStyle name="Warning Text 4 8" xfId="3215" xr:uid="{00000000-0005-0000-0000-0000DD6F0000}"/>
    <cellStyle name="Warning Text 4 8 2" xfId="5286" xr:uid="{00000000-0005-0000-0000-0000DE6F0000}"/>
    <cellStyle name="Warning Text 4 8 2 2" xfId="24437" xr:uid="{00000000-0005-0000-0000-0000DF6F0000}"/>
    <cellStyle name="Warning Text 4 8 3" xfId="5198" xr:uid="{00000000-0005-0000-0000-0000E06F0000}"/>
    <cellStyle name="Warning Text 4 9" xfId="3622" xr:uid="{00000000-0005-0000-0000-0000E16F0000}"/>
    <cellStyle name="Warning Text 4 9 2" xfId="5287" xr:uid="{00000000-0005-0000-0000-0000E26F0000}"/>
    <cellStyle name="Warning Text 4 9 2 2" xfId="24438" xr:uid="{00000000-0005-0000-0000-0000E36F0000}"/>
    <cellStyle name="Warning Text 4 9 3" xfId="5199" xr:uid="{00000000-0005-0000-0000-0000E46F0000}"/>
    <cellStyle name="Warning Text 5" xfId="516" xr:uid="{00000000-0005-0000-0000-0000E56F0000}"/>
    <cellStyle name="Warning Text 5 2" xfId="1847" xr:uid="{00000000-0005-0000-0000-0000E66F0000}"/>
    <cellStyle name="Warning Text 5 2 2" xfId="5289" xr:uid="{00000000-0005-0000-0000-0000E76F0000}"/>
    <cellStyle name="Warning Text 5 2 2 2" xfId="24439" xr:uid="{00000000-0005-0000-0000-0000E86F0000}"/>
    <cellStyle name="Warning Text 5 2 3" xfId="5201" xr:uid="{00000000-0005-0000-0000-0000E96F0000}"/>
    <cellStyle name="Warning Text 5 3" xfId="2222" xr:uid="{00000000-0005-0000-0000-0000EA6F0000}"/>
    <cellStyle name="Warning Text 5 3 2" xfId="5290" xr:uid="{00000000-0005-0000-0000-0000EB6F0000}"/>
    <cellStyle name="Warning Text 5 3 2 2" xfId="24440" xr:uid="{00000000-0005-0000-0000-0000EC6F0000}"/>
    <cellStyle name="Warning Text 5 3 3" xfId="5202" xr:uid="{00000000-0005-0000-0000-0000ED6F0000}"/>
    <cellStyle name="Warning Text 5 4" xfId="2596" xr:uid="{00000000-0005-0000-0000-0000EE6F0000}"/>
    <cellStyle name="Warning Text 5 4 2" xfId="5291" xr:uid="{00000000-0005-0000-0000-0000EF6F0000}"/>
    <cellStyle name="Warning Text 5 4 2 2" xfId="24441" xr:uid="{00000000-0005-0000-0000-0000F06F0000}"/>
    <cellStyle name="Warning Text 5 4 3" xfId="5203" xr:uid="{00000000-0005-0000-0000-0000F16F0000}"/>
    <cellStyle name="Warning Text 5 5" xfId="2968" xr:uid="{00000000-0005-0000-0000-0000F26F0000}"/>
    <cellStyle name="Warning Text 5 5 2" xfId="5292" xr:uid="{00000000-0005-0000-0000-0000F36F0000}"/>
    <cellStyle name="Warning Text 5 5 2 2" xfId="24442" xr:uid="{00000000-0005-0000-0000-0000F46F0000}"/>
    <cellStyle name="Warning Text 5 5 3" xfId="5204" xr:uid="{00000000-0005-0000-0000-0000F56F0000}"/>
    <cellStyle name="Warning Text 5 6" xfId="3340" xr:uid="{00000000-0005-0000-0000-0000F66F0000}"/>
    <cellStyle name="Warning Text 5 6 2" xfId="5293" xr:uid="{00000000-0005-0000-0000-0000F76F0000}"/>
    <cellStyle name="Warning Text 5 6 2 2" xfId="24443" xr:uid="{00000000-0005-0000-0000-0000F86F0000}"/>
    <cellStyle name="Warning Text 5 6 3" xfId="5205" xr:uid="{00000000-0005-0000-0000-0000F96F0000}"/>
    <cellStyle name="Warning Text 5 7" xfId="5288" xr:uid="{00000000-0005-0000-0000-0000FA6F0000}"/>
    <cellStyle name="Warning Text 5 7 2" xfId="24445" xr:uid="{00000000-0005-0000-0000-0000FB6F0000}"/>
    <cellStyle name="Warning Text 5 7 3" xfId="24444" xr:uid="{00000000-0005-0000-0000-0000FC6F0000}"/>
    <cellStyle name="Warning Text 5 8" xfId="5200" xr:uid="{00000000-0005-0000-0000-0000FD6F0000}"/>
    <cellStyle name="Warning Text 6" xfId="517" xr:uid="{00000000-0005-0000-0000-0000FE6F0000}"/>
    <cellStyle name="Warning Text 6 2" xfId="2009" xr:uid="{00000000-0005-0000-0000-0000FF6F0000}"/>
    <cellStyle name="Warning Text 6 2 2" xfId="5295" xr:uid="{00000000-0005-0000-0000-000000700000}"/>
    <cellStyle name="Warning Text 6 2 2 2" xfId="24446" xr:uid="{00000000-0005-0000-0000-000001700000}"/>
    <cellStyle name="Warning Text 6 2 3" xfId="5207" xr:uid="{00000000-0005-0000-0000-000002700000}"/>
    <cellStyle name="Warning Text 6 3" xfId="2384" xr:uid="{00000000-0005-0000-0000-000003700000}"/>
    <cellStyle name="Warning Text 6 3 2" xfId="5296" xr:uid="{00000000-0005-0000-0000-000004700000}"/>
    <cellStyle name="Warning Text 6 3 2 2" xfId="24447" xr:uid="{00000000-0005-0000-0000-000005700000}"/>
    <cellStyle name="Warning Text 6 3 3" xfId="5208" xr:uid="{00000000-0005-0000-0000-000006700000}"/>
    <cellStyle name="Warning Text 6 4" xfId="2757" xr:uid="{00000000-0005-0000-0000-000007700000}"/>
    <cellStyle name="Warning Text 6 4 2" xfId="5297" xr:uid="{00000000-0005-0000-0000-000008700000}"/>
    <cellStyle name="Warning Text 6 4 2 2" xfId="24448" xr:uid="{00000000-0005-0000-0000-000009700000}"/>
    <cellStyle name="Warning Text 6 4 3" xfId="5209" xr:uid="{00000000-0005-0000-0000-00000A700000}"/>
    <cellStyle name="Warning Text 6 5" xfId="3130" xr:uid="{00000000-0005-0000-0000-00000B700000}"/>
    <cellStyle name="Warning Text 6 5 2" xfId="5298" xr:uid="{00000000-0005-0000-0000-00000C700000}"/>
    <cellStyle name="Warning Text 6 5 2 2" xfId="24449" xr:uid="{00000000-0005-0000-0000-00000D700000}"/>
    <cellStyle name="Warning Text 6 5 3" xfId="5210" xr:uid="{00000000-0005-0000-0000-00000E700000}"/>
    <cellStyle name="Warning Text 6 6" xfId="3501" xr:uid="{00000000-0005-0000-0000-00000F700000}"/>
    <cellStyle name="Warning Text 6 6 2" xfId="5299" xr:uid="{00000000-0005-0000-0000-000010700000}"/>
    <cellStyle name="Warning Text 6 6 2 2" xfId="24450" xr:uid="{00000000-0005-0000-0000-000011700000}"/>
    <cellStyle name="Warning Text 6 6 3" xfId="5211" xr:uid="{00000000-0005-0000-0000-000012700000}"/>
    <cellStyle name="Warning Text 6 7" xfId="3807" xr:uid="{00000000-0005-0000-0000-000013700000}"/>
    <cellStyle name="Warning Text 6 7 2" xfId="5300" xr:uid="{00000000-0005-0000-0000-000014700000}"/>
    <cellStyle name="Warning Text 6 7 2 2" xfId="24451" xr:uid="{00000000-0005-0000-0000-000015700000}"/>
    <cellStyle name="Warning Text 6 7 3" xfId="5212" xr:uid="{00000000-0005-0000-0000-000016700000}"/>
    <cellStyle name="Warning Text 6 8" xfId="5294" xr:uid="{00000000-0005-0000-0000-000017700000}"/>
    <cellStyle name="Warning Text 6 8 2" xfId="24453" xr:uid="{00000000-0005-0000-0000-000018700000}"/>
    <cellStyle name="Warning Text 6 8 3" xfId="24452" xr:uid="{00000000-0005-0000-0000-000019700000}"/>
    <cellStyle name="Warning Text 6 9" xfId="5206" xr:uid="{00000000-0005-0000-0000-00001A700000}"/>
    <cellStyle name="Warning Text 7" xfId="518" xr:uid="{00000000-0005-0000-0000-00001B700000}"/>
    <cellStyle name="Warning Text 7 2" xfId="5301" xr:uid="{00000000-0005-0000-0000-00001C700000}"/>
    <cellStyle name="Warning Text 7 2 2" xfId="24454" xr:uid="{00000000-0005-0000-0000-00001D700000}"/>
    <cellStyle name="Warning Text 7 3" xfId="5213" xr:uid="{00000000-0005-0000-0000-00001E700000}"/>
    <cellStyle name="Warning Text 8" xfId="638" xr:uid="{00000000-0005-0000-0000-00001F700000}"/>
    <cellStyle name="Warning Text 8 2" xfId="5302" xr:uid="{00000000-0005-0000-0000-000020700000}"/>
    <cellStyle name="Warning Text 8 2 2" xfId="24455" xr:uid="{00000000-0005-0000-0000-000021700000}"/>
    <cellStyle name="Warning Text 8 3" xfId="5214" xr:uid="{00000000-0005-0000-0000-000022700000}"/>
    <cellStyle name="Warning Text 9" xfId="639" xr:uid="{00000000-0005-0000-0000-000023700000}"/>
    <cellStyle name="Warning Text 9 2" xfId="5303" xr:uid="{00000000-0005-0000-0000-000024700000}"/>
    <cellStyle name="Warning Text 9 2 2" xfId="24456" xr:uid="{00000000-0005-0000-0000-000025700000}"/>
    <cellStyle name="Warning Text 9 3" xfId="5215" xr:uid="{00000000-0005-0000-0000-000026700000}"/>
  </cellStyles>
  <dxfs count="3">
    <dxf>
      <font>
        <b/>
        <i val="0"/>
        <color rgb="FFFF0000"/>
      </font>
      <fill>
        <patternFill>
          <fgColor rgb="FFFFFF00"/>
          <bgColor rgb="FFFFFF00"/>
        </patternFill>
      </fill>
      <border>
        <left style="thin">
          <color auto="1"/>
        </left>
        <right style="thin">
          <color auto="1"/>
        </right>
        <top style="thin">
          <color auto="1"/>
        </top>
        <bottom style="thin">
          <color auto="1"/>
        </bottom>
        <vertical/>
        <horizontal/>
      </border>
    </dxf>
    <dxf>
      <font>
        <b/>
        <i val="0"/>
        <color rgb="FFFF0000"/>
      </font>
      <fill>
        <patternFill>
          <fgColor rgb="FFFF0000"/>
          <bgColor rgb="FFFFFF00"/>
        </patternFill>
      </fill>
      <border>
        <left style="thin">
          <color auto="1"/>
        </left>
        <right style="thin">
          <color auto="1"/>
        </right>
        <top style="thin">
          <color auto="1"/>
        </top>
        <bottom style="thin">
          <color auto="1"/>
        </bottom>
      </border>
    </dxf>
    <dxf>
      <font>
        <b/>
        <i val="0"/>
        <color rgb="FFFF0000"/>
      </font>
      <fill>
        <patternFill>
          <fgColor rgb="FFFFFF00"/>
          <bgColor rgb="FFFFFF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3"/>
  <sheetViews>
    <sheetView tabSelected="1" zoomScaleNormal="100" zoomScaleSheetLayoutView="100" workbookViewId="0"/>
  </sheetViews>
  <sheetFormatPr defaultColWidth="9.140625" defaultRowHeight="15.75"/>
  <cols>
    <col min="1" max="1" width="10.140625" style="171" bestFit="1" customWidth="1"/>
    <col min="2" max="3" width="11.42578125" style="171" bestFit="1" customWidth="1"/>
    <col min="4" max="4" width="9.140625" style="171"/>
    <col min="5" max="5" width="11.5703125" style="171" bestFit="1" customWidth="1"/>
    <col min="6" max="7" width="9.140625" style="171"/>
    <col min="8" max="8" width="19.7109375" style="171" bestFit="1" customWidth="1"/>
    <col min="9" max="16384" width="9.140625" style="171"/>
  </cols>
  <sheetData>
    <row r="1" spans="1:9">
      <c r="A1" s="169"/>
      <c r="B1" s="170"/>
      <c r="C1" s="169"/>
      <c r="G1" s="172"/>
      <c r="H1" s="173"/>
    </row>
    <row r="2" spans="1:9">
      <c r="A2" s="557"/>
      <c r="B2" s="557"/>
      <c r="C2" s="557"/>
      <c r="D2" s="557"/>
      <c r="E2" s="557"/>
      <c r="F2" s="557"/>
      <c r="G2" s="557"/>
      <c r="H2" s="557"/>
      <c r="I2" s="557"/>
    </row>
    <row r="3" spans="1:9">
      <c r="B3" s="174"/>
    </row>
    <row r="4" spans="1:9">
      <c r="A4" s="558" t="s">
        <v>459</v>
      </c>
      <c r="B4" s="558"/>
      <c r="C4" s="558"/>
      <c r="D4" s="558"/>
      <c r="E4" s="558"/>
      <c r="F4" s="558"/>
      <c r="G4" s="558"/>
      <c r="H4" s="558"/>
      <c r="I4" s="558"/>
    </row>
    <row r="6" spans="1:9">
      <c r="A6" s="558" t="s">
        <v>818</v>
      </c>
      <c r="B6" s="558"/>
      <c r="C6" s="558"/>
      <c r="D6" s="558"/>
      <c r="E6" s="558"/>
      <c r="F6" s="558"/>
      <c r="G6" s="558"/>
      <c r="H6" s="558"/>
      <c r="I6" s="558"/>
    </row>
    <row r="7" spans="1:9">
      <c r="A7" s="558"/>
      <c r="B7" s="558"/>
      <c r="C7" s="558"/>
      <c r="D7" s="558"/>
      <c r="E7" s="558"/>
      <c r="F7" s="558"/>
      <c r="G7" s="558"/>
      <c r="H7" s="558"/>
      <c r="I7" s="558"/>
    </row>
    <row r="8" spans="1:9">
      <c r="A8" s="538"/>
      <c r="B8" s="538"/>
      <c r="C8" s="538"/>
      <c r="D8" s="538"/>
      <c r="E8" s="538"/>
      <c r="F8" s="538"/>
      <c r="G8" s="538"/>
      <c r="H8" s="538"/>
      <c r="I8" s="538"/>
    </row>
    <row r="9" spans="1:9">
      <c r="A9" s="558" t="s">
        <v>123</v>
      </c>
      <c r="B9" s="558"/>
      <c r="C9" s="558"/>
      <c r="D9" s="558"/>
      <c r="E9" s="558"/>
      <c r="F9" s="558"/>
      <c r="G9" s="558"/>
      <c r="H9" s="558"/>
      <c r="I9" s="558"/>
    </row>
    <row r="10" spans="1:9">
      <c r="A10" s="560" t="s">
        <v>1187</v>
      </c>
      <c r="B10" s="560"/>
      <c r="C10" s="560"/>
      <c r="D10" s="560"/>
      <c r="E10" s="560"/>
      <c r="F10" s="560"/>
      <c r="G10" s="560"/>
      <c r="H10" s="560"/>
      <c r="I10" s="560"/>
    </row>
    <row r="12" spans="1:9">
      <c r="A12" s="175"/>
      <c r="B12" s="175"/>
      <c r="C12" s="175"/>
      <c r="D12" s="175"/>
      <c r="E12" s="175"/>
      <c r="F12" s="175"/>
      <c r="G12" s="175"/>
      <c r="H12" s="175"/>
      <c r="I12" s="175"/>
    </row>
    <row r="13" spans="1:9">
      <c r="A13" s="560" t="s">
        <v>1188</v>
      </c>
      <c r="B13" s="560"/>
      <c r="C13" s="560"/>
      <c r="D13" s="560"/>
      <c r="E13" s="560"/>
      <c r="F13" s="560"/>
      <c r="G13" s="560"/>
      <c r="H13" s="560"/>
      <c r="I13" s="560"/>
    </row>
    <row r="14" spans="1:9">
      <c r="A14" s="558"/>
      <c r="B14" s="558"/>
      <c r="C14" s="558"/>
      <c r="D14" s="558"/>
      <c r="E14" s="558"/>
      <c r="F14" s="558"/>
      <c r="G14" s="558"/>
      <c r="H14" s="558"/>
      <c r="I14" s="558"/>
    </row>
    <row r="18" spans="1:9">
      <c r="A18" s="561">
        <v>45532</v>
      </c>
      <c r="B18" s="561"/>
      <c r="C18" s="561"/>
      <c r="D18" s="561"/>
      <c r="E18" s="561"/>
      <c r="F18" s="561"/>
      <c r="G18" s="561"/>
      <c r="H18" s="561"/>
      <c r="I18" s="561"/>
    </row>
    <row r="21" spans="1:9">
      <c r="A21" s="559"/>
      <c r="B21" s="559"/>
      <c r="C21" s="559"/>
      <c r="D21" s="559"/>
      <c r="E21" s="559"/>
      <c r="F21" s="559"/>
      <c r="G21" s="559"/>
      <c r="H21" s="559"/>
      <c r="I21" s="559"/>
    </row>
    <row r="22" spans="1:9">
      <c r="B22" s="176"/>
      <c r="C22" s="176"/>
      <c r="D22" s="176"/>
      <c r="E22" s="176"/>
      <c r="F22" s="176"/>
    </row>
    <row r="23" spans="1:9">
      <c r="B23" s="176"/>
      <c r="C23" s="176"/>
      <c r="D23" s="176"/>
      <c r="E23" s="176"/>
      <c r="F23" s="176"/>
    </row>
    <row r="24" spans="1:9">
      <c r="B24" s="176"/>
      <c r="C24" s="176"/>
      <c r="D24" s="176"/>
      <c r="E24" s="176"/>
      <c r="F24" s="176"/>
    </row>
    <row r="25" spans="1:9">
      <c r="B25" s="176"/>
      <c r="C25" s="176"/>
      <c r="D25" s="176"/>
      <c r="E25" s="176"/>
      <c r="F25" s="176"/>
    </row>
    <row r="26" spans="1:9">
      <c r="B26" s="176"/>
      <c r="C26" s="176"/>
      <c r="D26" s="176"/>
      <c r="E26" s="176"/>
      <c r="F26" s="176"/>
    </row>
    <row r="53" spans="1:9">
      <c r="A53" s="559"/>
      <c r="B53" s="559"/>
      <c r="C53" s="559"/>
      <c r="D53" s="559"/>
      <c r="E53" s="559"/>
      <c r="F53" s="559"/>
      <c r="G53" s="559"/>
      <c r="H53" s="559"/>
      <c r="I53" s="559"/>
    </row>
  </sheetData>
  <mergeCells count="11">
    <mergeCell ref="A2:I2"/>
    <mergeCell ref="A4:I4"/>
    <mergeCell ref="A6:I6"/>
    <mergeCell ref="A53:I53"/>
    <mergeCell ref="A7:I7"/>
    <mergeCell ref="A13:I13"/>
    <mergeCell ref="A18:I18"/>
    <mergeCell ref="A14:I14"/>
    <mergeCell ref="A21:I21"/>
    <mergeCell ref="A9:I9"/>
    <mergeCell ref="A10:I10"/>
  </mergeCells>
  <phoneticPr fontId="18" type="noConversion"/>
  <printOptions horizontalCentered="1"/>
  <pageMargins left="0.75" right="0.75" top="1" bottom="1"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2"/>
  <sheetViews>
    <sheetView zoomScaleNormal="100" zoomScaleSheetLayoutView="100" workbookViewId="0">
      <selection sqref="A1:XFD1048576"/>
    </sheetView>
  </sheetViews>
  <sheetFormatPr defaultColWidth="9.140625" defaultRowHeight="12.75"/>
  <cols>
    <col min="1" max="1" width="1.7109375" style="193" customWidth="1"/>
    <col min="2" max="2" width="27.42578125" style="193" customWidth="1"/>
    <col min="3" max="3" width="3.140625" style="193" customWidth="1"/>
    <col min="4" max="4" width="83.7109375" style="193" customWidth="1"/>
    <col min="5" max="5" width="2.28515625" style="193" customWidth="1"/>
    <col min="6" max="6" width="6.5703125" style="193" customWidth="1"/>
    <col min="7" max="7" width="12" style="193" customWidth="1"/>
    <col min="8" max="16384" width="9.140625" style="193"/>
  </cols>
  <sheetData>
    <row r="1" spans="1:7">
      <c r="A1" s="563" t="s">
        <v>459</v>
      </c>
      <c r="B1" s="563"/>
      <c r="C1" s="563"/>
      <c r="D1" s="563"/>
      <c r="E1" s="563"/>
      <c r="F1" s="563"/>
      <c r="G1" s="563"/>
    </row>
    <row r="2" spans="1:7">
      <c r="A2" s="563" t="s">
        <v>1038</v>
      </c>
      <c r="B2" s="563"/>
      <c r="C2" s="563"/>
      <c r="D2" s="563"/>
      <c r="E2" s="563"/>
      <c r="F2" s="563"/>
      <c r="G2" s="563"/>
    </row>
    <row r="3" spans="1:7">
      <c r="A3" s="563" t="str">
        <f>'Title Page'!A10</f>
        <v>FOR THE TWELVE MONTHS ENDED DECEMBER 31, 2023</v>
      </c>
      <c r="B3" s="563"/>
      <c r="C3" s="563"/>
      <c r="D3" s="563"/>
      <c r="E3" s="563"/>
      <c r="F3" s="563"/>
      <c r="G3" s="563"/>
    </row>
    <row r="4" spans="1:7">
      <c r="D4" s="534"/>
    </row>
    <row r="5" spans="1:7">
      <c r="D5" s="541"/>
    </row>
    <row r="6" spans="1:7">
      <c r="A6" s="564" t="s">
        <v>40</v>
      </c>
      <c r="B6" s="564"/>
      <c r="C6" s="564"/>
      <c r="D6" s="564"/>
      <c r="E6" s="564"/>
      <c r="F6" s="564"/>
      <c r="G6" s="564"/>
    </row>
    <row r="7" spans="1:7">
      <c r="A7" s="540"/>
      <c r="B7" s="540"/>
      <c r="C7" s="540"/>
      <c r="D7" s="541"/>
    </row>
    <row r="8" spans="1:7">
      <c r="A8" s="540"/>
      <c r="B8" s="540"/>
      <c r="C8" s="540"/>
      <c r="D8" s="535"/>
    </row>
    <row r="9" spans="1:7">
      <c r="D9" s="534"/>
      <c r="F9" s="563" t="s">
        <v>650</v>
      </c>
      <c r="G9" s="563"/>
    </row>
    <row r="10" spans="1:7" s="540" customFormat="1">
      <c r="B10" s="258" t="s">
        <v>648</v>
      </c>
      <c r="D10" s="258" t="s">
        <v>649</v>
      </c>
      <c r="F10" s="562" t="s">
        <v>279</v>
      </c>
      <c r="G10" s="562"/>
    </row>
    <row r="11" spans="1:7" ht="25.5">
      <c r="A11" s="540"/>
      <c r="B11" s="374" t="s">
        <v>39</v>
      </c>
      <c r="D11" s="536" t="s">
        <v>1147</v>
      </c>
    </row>
    <row r="12" spans="1:7">
      <c r="A12" s="540"/>
      <c r="B12" s="193" t="s">
        <v>40</v>
      </c>
      <c r="D12" s="193" t="s">
        <v>40</v>
      </c>
    </row>
    <row r="13" spans="1:7">
      <c r="A13" s="540"/>
      <c r="B13" s="193" t="s">
        <v>41</v>
      </c>
      <c r="D13" s="193" t="s">
        <v>644</v>
      </c>
      <c r="F13" s="193" t="s">
        <v>660</v>
      </c>
      <c r="G13" s="193" t="s">
        <v>647</v>
      </c>
    </row>
    <row r="14" spans="1:7">
      <c r="A14" s="540"/>
      <c r="B14" s="193" t="s">
        <v>642</v>
      </c>
      <c r="D14" s="193" t="s">
        <v>625</v>
      </c>
      <c r="F14" s="193" t="s">
        <v>660</v>
      </c>
      <c r="G14" s="193" t="s">
        <v>647</v>
      </c>
    </row>
    <row r="15" spans="1:7">
      <c r="A15" s="540"/>
      <c r="B15" s="193" t="s">
        <v>643</v>
      </c>
      <c r="D15" s="193" t="s">
        <v>645</v>
      </c>
      <c r="F15" s="193" t="s">
        <v>660</v>
      </c>
      <c r="G15" s="193" t="s">
        <v>647</v>
      </c>
    </row>
    <row r="16" spans="1:7">
      <c r="A16" s="540"/>
      <c r="B16" s="193" t="s">
        <v>634</v>
      </c>
      <c r="D16" s="193" t="s">
        <v>260</v>
      </c>
      <c r="F16" s="193" t="s">
        <v>660</v>
      </c>
      <c r="G16" s="193" t="s">
        <v>647</v>
      </c>
    </row>
    <row r="17" spans="1:7">
      <c r="A17" s="540"/>
      <c r="B17" s="193" t="s">
        <v>107</v>
      </c>
      <c r="D17" s="193" t="s">
        <v>280</v>
      </c>
      <c r="G17" s="193" t="s">
        <v>647</v>
      </c>
    </row>
    <row r="18" spans="1:7">
      <c r="A18" s="540"/>
      <c r="B18" s="193" t="s">
        <v>196</v>
      </c>
      <c r="D18" s="193" t="s">
        <v>270</v>
      </c>
      <c r="G18" s="193" t="s">
        <v>647</v>
      </c>
    </row>
    <row r="19" spans="1:7">
      <c r="A19" s="540"/>
      <c r="B19" s="193" t="s">
        <v>206</v>
      </c>
      <c r="D19" s="193" t="s">
        <v>333</v>
      </c>
      <c r="G19" s="193" t="s">
        <v>647</v>
      </c>
    </row>
    <row r="20" spans="1:7">
      <c r="A20" s="540"/>
      <c r="B20" s="193" t="s">
        <v>273</v>
      </c>
      <c r="D20" s="193" t="s">
        <v>339</v>
      </c>
      <c r="G20" s="193" t="s">
        <v>647</v>
      </c>
    </row>
    <row r="21" spans="1:7">
      <c r="A21" s="540"/>
      <c r="B21" s="193" t="s">
        <v>261</v>
      </c>
      <c r="D21" s="193" t="s">
        <v>260</v>
      </c>
      <c r="G21" s="193" t="s">
        <v>647</v>
      </c>
    </row>
    <row r="22" spans="1:7">
      <c r="A22" s="540"/>
      <c r="B22" s="193" t="s">
        <v>262</v>
      </c>
      <c r="D22" s="193" t="s">
        <v>831</v>
      </c>
      <c r="F22" s="193" t="s">
        <v>661</v>
      </c>
      <c r="G22" s="193" t="s">
        <v>647</v>
      </c>
    </row>
    <row r="23" spans="1:7">
      <c r="A23" s="540"/>
      <c r="B23" s="193" t="s">
        <v>202</v>
      </c>
      <c r="D23" s="193" t="s">
        <v>44</v>
      </c>
      <c r="G23" s="193" t="s">
        <v>647</v>
      </c>
    </row>
    <row r="24" spans="1:7">
      <c r="A24" s="540"/>
      <c r="B24" s="193" t="s">
        <v>146</v>
      </c>
      <c r="D24" s="193" t="s">
        <v>47</v>
      </c>
      <c r="F24" s="193" t="s">
        <v>662</v>
      </c>
      <c r="G24" s="193" t="s">
        <v>647</v>
      </c>
    </row>
    <row r="25" spans="1:7" ht="25.5">
      <c r="A25" s="540"/>
      <c r="B25" s="374" t="s">
        <v>501</v>
      </c>
      <c r="D25" s="262" t="s">
        <v>669</v>
      </c>
      <c r="F25" s="374" t="s">
        <v>671</v>
      </c>
      <c r="G25" s="374" t="s">
        <v>647</v>
      </c>
    </row>
    <row r="26" spans="1:7">
      <c r="A26" s="540"/>
      <c r="B26" s="193" t="s">
        <v>37</v>
      </c>
      <c r="D26" s="193" t="s">
        <v>672</v>
      </c>
      <c r="F26" s="193" t="s">
        <v>670</v>
      </c>
      <c r="G26" s="193" t="s">
        <v>647</v>
      </c>
    </row>
    <row r="27" spans="1:7">
      <c r="A27" s="540"/>
      <c r="B27" s="263" t="s">
        <v>610</v>
      </c>
      <c r="D27" s="193" t="s">
        <v>611</v>
      </c>
      <c r="F27" s="193" t="s">
        <v>612</v>
      </c>
    </row>
    <row r="28" spans="1:7" ht="25.5">
      <c r="A28" s="540"/>
      <c r="B28" s="537" t="s">
        <v>613</v>
      </c>
      <c r="D28" s="262" t="s">
        <v>788</v>
      </c>
      <c r="F28" s="374" t="s">
        <v>614</v>
      </c>
    </row>
    <row r="29" spans="1:7">
      <c r="A29" s="540"/>
      <c r="B29" s="193" t="s">
        <v>207</v>
      </c>
      <c r="D29" s="193" t="s">
        <v>208</v>
      </c>
      <c r="F29" s="193" t="s">
        <v>232</v>
      </c>
    </row>
    <row r="30" spans="1:7">
      <c r="A30" s="540"/>
      <c r="B30" s="193" t="s">
        <v>622</v>
      </c>
      <c r="D30" s="262" t="s">
        <v>338</v>
      </c>
      <c r="F30" s="193" t="s">
        <v>623</v>
      </c>
    </row>
    <row r="31" spans="1:7">
      <c r="A31" s="540"/>
      <c r="B31" s="537"/>
      <c r="D31" s="262"/>
      <c r="F31" s="374"/>
    </row>
    <row r="32" spans="1:7">
      <c r="A32" s="540"/>
      <c r="B32" s="537" t="s">
        <v>416</v>
      </c>
      <c r="D32" s="262" t="s">
        <v>417</v>
      </c>
      <c r="F32" s="374"/>
    </row>
    <row r="33" spans="1:7">
      <c r="A33" s="540"/>
      <c r="B33" s="193" t="s">
        <v>1006</v>
      </c>
      <c r="D33" s="193" t="s">
        <v>177</v>
      </c>
      <c r="G33" s="193" t="s">
        <v>647</v>
      </c>
    </row>
    <row r="34" spans="1:7">
      <c r="A34" s="540"/>
      <c r="B34" s="193" t="s">
        <v>1007</v>
      </c>
      <c r="D34" s="193" t="s">
        <v>1267</v>
      </c>
      <c r="G34" s="193" t="s">
        <v>647</v>
      </c>
    </row>
    <row r="35" spans="1:7">
      <c r="A35" s="540"/>
      <c r="B35" s="193" t="s">
        <v>1265</v>
      </c>
      <c r="D35" s="193" t="s">
        <v>1266</v>
      </c>
      <c r="G35" s="193" t="s">
        <v>647</v>
      </c>
    </row>
    <row r="36" spans="1:7">
      <c r="A36" s="540"/>
      <c r="B36" s="193" t="s">
        <v>71</v>
      </c>
      <c r="D36" s="193" t="s">
        <v>514</v>
      </c>
      <c r="F36" s="193" t="s">
        <v>662</v>
      </c>
      <c r="G36" s="193" t="s">
        <v>647</v>
      </c>
    </row>
    <row r="37" spans="1:7">
      <c r="A37" s="540"/>
      <c r="B37" s="193" t="s">
        <v>72</v>
      </c>
      <c r="D37" s="193" t="s">
        <v>559</v>
      </c>
      <c r="G37" s="193" t="s">
        <v>647</v>
      </c>
    </row>
    <row r="38" spans="1:7">
      <c r="A38" s="540"/>
      <c r="B38" s="193" t="s">
        <v>73</v>
      </c>
      <c r="D38" s="193" t="s">
        <v>42</v>
      </c>
      <c r="F38" s="193" t="s">
        <v>663</v>
      </c>
      <c r="G38" s="193" t="s">
        <v>647</v>
      </c>
    </row>
    <row r="39" spans="1:7">
      <c r="A39" s="540"/>
      <c r="B39" s="193" t="s">
        <v>1146</v>
      </c>
      <c r="D39" s="193" t="s">
        <v>798</v>
      </c>
      <c r="F39" s="193" t="s">
        <v>662</v>
      </c>
    </row>
    <row r="40" spans="1:7">
      <c r="A40" s="540"/>
      <c r="B40" s="193" t="s">
        <v>74</v>
      </c>
      <c r="D40" s="193" t="s">
        <v>80</v>
      </c>
      <c r="F40" s="193" t="s">
        <v>664</v>
      </c>
      <c r="G40" s="193" t="s">
        <v>647</v>
      </c>
    </row>
    <row r="41" spans="1:7">
      <c r="A41" s="540"/>
      <c r="B41" s="193" t="s">
        <v>75</v>
      </c>
      <c r="D41" s="193" t="s">
        <v>81</v>
      </c>
      <c r="F41" s="193" t="s">
        <v>664</v>
      </c>
      <c r="G41" s="193" t="s">
        <v>647</v>
      </c>
    </row>
    <row r="42" spans="1:7">
      <c r="A42" s="540"/>
      <c r="B42" s="193" t="s">
        <v>76</v>
      </c>
      <c r="D42" s="193" t="s">
        <v>520</v>
      </c>
      <c r="F42" s="193" t="s">
        <v>664</v>
      </c>
      <c r="G42" s="193" t="s">
        <v>647</v>
      </c>
    </row>
    <row r="43" spans="1:7">
      <c r="A43" s="540"/>
      <c r="B43" s="193" t="s">
        <v>77</v>
      </c>
      <c r="D43" s="193" t="s">
        <v>82</v>
      </c>
      <c r="F43" s="193" t="s">
        <v>664</v>
      </c>
      <c r="G43" s="193" t="s">
        <v>647</v>
      </c>
    </row>
    <row r="44" spans="1:7">
      <c r="A44" s="540"/>
      <c r="B44" s="193" t="s">
        <v>78</v>
      </c>
      <c r="D44" s="193" t="s">
        <v>830</v>
      </c>
      <c r="G44" s="193" t="s">
        <v>647</v>
      </c>
    </row>
    <row r="45" spans="1:7" ht="25.5">
      <c r="A45" s="540"/>
      <c r="B45" s="374" t="s">
        <v>79</v>
      </c>
      <c r="D45" s="262" t="s">
        <v>90</v>
      </c>
      <c r="F45" s="374" t="s">
        <v>665</v>
      </c>
      <c r="G45" s="374" t="s">
        <v>647</v>
      </c>
    </row>
    <row r="46" spans="1:7" ht="25.5">
      <c r="A46" s="540"/>
      <c r="B46" s="374" t="s">
        <v>88</v>
      </c>
      <c r="D46" s="262" t="s">
        <v>89</v>
      </c>
      <c r="F46" s="374" t="s">
        <v>665</v>
      </c>
      <c r="G46" s="374" t="s">
        <v>647</v>
      </c>
    </row>
    <row r="47" spans="1:7">
      <c r="A47" s="540"/>
      <c r="B47" s="193" t="s">
        <v>43</v>
      </c>
      <c r="D47" s="193" t="s">
        <v>832</v>
      </c>
      <c r="F47" s="193" t="s">
        <v>661</v>
      </c>
      <c r="G47" s="193" t="s">
        <v>647</v>
      </c>
    </row>
    <row r="48" spans="1:7">
      <c r="A48" s="540"/>
      <c r="B48" s="193" t="s">
        <v>45</v>
      </c>
      <c r="D48" s="193" t="s">
        <v>46</v>
      </c>
      <c r="F48" s="193" t="s">
        <v>666</v>
      </c>
      <c r="G48" s="193" t="s">
        <v>647</v>
      </c>
    </row>
    <row r="49" spans="1:7">
      <c r="A49" s="540"/>
      <c r="B49" s="193" t="s">
        <v>98</v>
      </c>
      <c r="D49" s="193" t="s">
        <v>97</v>
      </c>
      <c r="F49" s="193" t="s">
        <v>668</v>
      </c>
      <c r="G49" s="193" t="s">
        <v>647</v>
      </c>
    </row>
    <row r="50" spans="1:7">
      <c r="A50" s="540"/>
      <c r="B50" s="193" t="s">
        <v>101</v>
      </c>
      <c r="D50" s="193" t="s">
        <v>102</v>
      </c>
      <c r="F50" s="193" t="s">
        <v>667</v>
      </c>
      <c r="G50" s="193" t="s">
        <v>647</v>
      </c>
    </row>
    <row r="51" spans="1:7">
      <c r="B51" s="193" t="s">
        <v>738</v>
      </c>
      <c r="D51" s="193" t="s">
        <v>47</v>
      </c>
      <c r="F51" s="193" t="s">
        <v>662</v>
      </c>
      <c r="G51" s="193" t="s">
        <v>647</v>
      </c>
    </row>
    <row r="52" spans="1:7" ht="14.25" customHeight="1">
      <c r="B52" s="374" t="s">
        <v>7</v>
      </c>
      <c r="D52" s="262" t="s">
        <v>669</v>
      </c>
      <c r="F52" s="374" t="s">
        <v>671</v>
      </c>
      <c r="G52" s="374" t="s">
        <v>647</v>
      </c>
    </row>
  </sheetData>
  <mergeCells count="6">
    <mergeCell ref="F10:G10"/>
    <mergeCell ref="F9:G9"/>
    <mergeCell ref="A6:G6"/>
    <mergeCell ref="A1:G1"/>
    <mergeCell ref="A2:G2"/>
    <mergeCell ref="A3:G3"/>
  </mergeCells>
  <phoneticPr fontId="18" type="noConversion"/>
  <printOptions horizontalCentered="1"/>
  <pageMargins left="0.75" right="0.75" top="1" bottom="1" header="0.5" footer="0.5"/>
  <pageSetup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31"/>
  <sheetViews>
    <sheetView zoomScaleNormal="100" zoomScaleSheetLayoutView="100" workbookViewId="0">
      <selection sqref="A1:XFD1048576"/>
    </sheetView>
  </sheetViews>
  <sheetFormatPr defaultColWidth="9.140625" defaultRowHeight="12.75"/>
  <cols>
    <col min="1" max="1" width="71.5703125" style="193" customWidth="1"/>
    <col min="2" max="2" width="1.5703125" style="193" customWidth="1"/>
    <col min="3" max="3" width="14.5703125" style="193" bestFit="1" customWidth="1"/>
    <col min="4" max="4" width="1.7109375" style="193" customWidth="1"/>
    <col min="5" max="5" width="13.42578125" style="193" bestFit="1" customWidth="1"/>
    <col min="6" max="6" width="2" style="250" customWidth="1"/>
    <col min="7" max="7" width="1.42578125" style="193" customWidth="1"/>
    <col min="8" max="8" width="13.28515625" style="193" bestFit="1" customWidth="1"/>
    <col min="9" max="9" width="1.85546875" style="193" customWidth="1"/>
    <col min="10" max="10" width="13" style="540" bestFit="1" customWidth="1"/>
    <col min="11" max="11" width="12.140625" style="193" customWidth="1"/>
    <col min="12" max="12" width="9.140625" style="193"/>
    <col min="13" max="13" width="15" style="193" bestFit="1" customWidth="1"/>
    <col min="14" max="16384" width="9.140625" style="193"/>
  </cols>
  <sheetData>
    <row r="1" spans="1:16384" s="193" customFormat="1">
      <c r="A1" s="563" t="s">
        <v>459</v>
      </c>
      <c r="B1" s="563"/>
      <c r="C1" s="563"/>
      <c r="D1" s="563"/>
      <c r="E1" s="563"/>
      <c r="F1" s="563"/>
      <c r="G1" s="563"/>
      <c r="H1" s="563"/>
      <c r="I1" s="563"/>
      <c r="J1" s="563"/>
      <c r="K1" s="563"/>
    </row>
    <row r="2" spans="1:16384" s="193" customFormat="1">
      <c r="A2" s="563" t="s">
        <v>1038</v>
      </c>
      <c r="B2" s="563"/>
      <c r="C2" s="563"/>
      <c r="D2" s="563"/>
      <c r="E2" s="563"/>
      <c r="F2" s="563"/>
      <c r="G2" s="563"/>
      <c r="H2" s="563"/>
      <c r="I2" s="563"/>
      <c r="J2" s="563"/>
      <c r="K2" s="563"/>
    </row>
    <row r="3" spans="1:16384" s="193" customFormat="1">
      <c r="A3" s="563" t="str">
        <f>'Title Page'!A10</f>
        <v>FOR THE TWELVE MONTHS ENDED DECEMBER 31, 2023</v>
      </c>
      <c r="B3" s="563"/>
      <c r="C3" s="563"/>
      <c r="D3" s="563"/>
      <c r="E3" s="563"/>
      <c r="F3" s="563"/>
      <c r="G3" s="563"/>
      <c r="H3" s="563"/>
      <c r="I3" s="563"/>
      <c r="J3" s="563"/>
      <c r="K3" s="563"/>
    </row>
    <row r="4" spans="1:16384" s="193" customFormat="1">
      <c r="A4" s="564"/>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c r="BC4" s="564"/>
      <c r="BD4" s="564"/>
      <c r="BE4" s="564"/>
      <c r="BF4" s="564"/>
      <c r="BG4" s="564"/>
      <c r="BH4" s="564"/>
      <c r="BI4" s="564"/>
      <c r="BJ4" s="564"/>
      <c r="BK4" s="564"/>
      <c r="BL4" s="564"/>
      <c r="BM4" s="564"/>
      <c r="BN4" s="564"/>
      <c r="BO4" s="564"/>
      <c r="BP4" s="564"/>
      <c r="BQ4" s="564"/>
      <c r="BR4" s="564"/>
      <c r="BS4" s="564"/>
      <c r="BT4" s="564"/>
      <c r="BU4" s="564"/>
      <c r="BV4" s="564"/>
      <c r="BW4" s="564"/>
      <c r="BX4" s="564"/>
      <c r="BY4" s="564"/>
      <c r="BZ4" s="564"/>
      <c r="CA4" s="564"/>
      <c r="CB4" s="564"/>
      <c r="CC4" s="564"/>
      <c r="CD4" s="564"/>
      <c r="CE4" s="564"/>
      <c r="CF4" s="564"/>
      <c r="CG4" s="564"/>
      <c r="CH4" s="564"/>
      <c r="CI4" s="564"/>
      <c r="CJ4" s="564"/>
      <c r="CK4" s="564"/>
      <c r="CL4" s="564"/>
      <c r="CM4" s="564"/>
      <c r="CN4" s="564"/>
      <c r="CO4" s="564"/>
      <c r="CP4" s="564"/>
      <c r="CQ4" s="564"/>
      <c r="CR4" s="564"/>
      <c r="CS4" s="564"/>
      <c r="CT4" s="564"/>
      <c r="CU4" s="564"/>
      <c r="CV4" s="564"/>
      <c r="CW4" s="564"/>
      <c r="CX4" s="564"/>
      <c r="CY4" s="564"/>
      <c r="CZ4" s="564"/>
      <c r="DA4" s="564"/>
      <c r="DB4" s="564"/>
      <c r="DC4" s="564"/>
      <c r="DD4" s="564"/>
      <c r="DE4" s="564"/>
      <c r="DF4" s="564"/>
      <c r="DG4" s="564"/>
      <c r="DH4" s="564"/>
      <c r="DI4" s="564"/>
      <c r="DJ4" s="564"/>
      <c r="DK4" s="564"/>
      <c r="DL4" s="564"/>
      <c r="DM4" s="564"/>
      <c r="DN4" s="564"/>
      <c r="DO4" s="564"/>
      <c r="DP4" s="564"/>
      <c r="DQ4" s="564"/>
      <c r="DR4" s="564"/>
      <c r="DS4" s="564"/>
      <c r="DT4" s="564"/>
      <c r="DU4" s="564"/>
      <c r="DV4" s="564"/>
      <c r="DW4" s="564"/>
      <c r="DX4" s="564"/>
      <c r="DY4" s="564"/>
      <c r="DZ4" s="564"/>
      <c r="EA4" s="564"/>
      <c r="EB4" s="564"/>
      <c r="EC4" s="564"/>
      <c r="ED4" s="564"/>
      <c r="EE4" s="564"/>
      <c r="EF4" s="564"/>
      <c r="EG4" s="564"/>
      <c r="EH4" s="564"/>
      <c r="EI4" s="564"/>
      <c r="EJ4" s="564"/>
      <c r="EK4" s="564"/>
      <c r="EL4" s="564"/>
      <c r="EM4" s="564"/>
      <c r="EN4" s="564"/>
      <c r="EO4" s="564"/>
      <c r="EP4" s="564"/>
      <c r="EQ4" s="564"/>
      <c r="ER4" s="564"/>
      <c r="ES4" s="564"/>
      <c r="ET4" s="564"/>
      <c r="EU4" s="564"/>
      <c r="EV4" s="564"/>
      <c r="EW4" s="564"/>
      <c r="EX4" s="564"/>
      <c r="EY4" s="564"/>
      <c r="EZ4" s="564"/>
      <c r="FA4" s="564"/>
      <c r="FB4" s="564"/>
      <c r="FC4" s="564"/>
      <c r="FD4" s="564"/>
      <c r="FE4" s="564"/>
      <c r="FF4" s="564"/>
      <c r="FG4" s="564"/>
      <c r="FH4" s="564"/>
      <c r="FI4" s="564"/>
      <c r="FJ4" s="564"/>
      <c r="FK4" s="564"/>
      <c r="FL4" s="564"/>
      <c r="FM4" s="564"/>
      <c r="FN4" s="564"/>
      <c r="FO4" s="564"/>
      <c r="FP4" s="564"/>
      <c r="FQ4" s="564"/>
      <c r="FR4" s="564"/>
      <c r="FS4" s="564"/>
      <c r="FT4" s="564"/>
      <c r="FU4" s="564"/>
      <c r="FV4" s="564"/>
      <c r="FW4" s="564"/>
      <c r="FX4" s="564"/>
      <c r="FY4" s="564"/>
      <c r="FZ4" s="564"/>
      <c r="GA4" s="564"/>
      <c r="GB4" s="564"/>
      <c r="GC4" s="564"/>
      <c r="GD4" s="564"/>
      <c r="GE4" s="564"/>
      <c r="GF4" s="564"/>
      <c r="GG4" s="564"/>
      <c r="GH4" s="564"/>
      <c r="GI4" s="564"/>
      <c r="GJ4" s="564"/>
      <c r="GK4" s="564"/>
      <c r="GL4" s="564"/>
      <c r="GM4" s="564"/>
      <c r="GN4" s="564"/>
      <c r="GO4" s="564"/>
      <c r="GP4" s="564"/>
      <c r="GQ4" s="564"/>
      <c r="GR4" s="564"/>
      <c r="GS4" s="564"/>
      <c r="GT4" s="564"/>
      <c r="GU4" s="564"/>
      <c r="GV4" s="564"/>
      <c r="GW4" s="564"/>
      <c r="GX4" s="564"/>
      <c r="GY4" s="564"/>
      <c r="GZ4" s="564"/>
      <c r="HA4" s="564"/>
      <c r="HB4" s="564"/>
      <c r="HC4" s="564"/>
      <c r="HD4" s="564"/>
      <c r="HE4" s="564"/>
      <c r="HF4" s="564"/>
      <c r="HG4" s="564"/>
      <c r="HH4" s="564"/>
      <c r="HI4" s="564"/>
      <c r="HJ4" s="564"/>
      <c r="HK4" s="564"/>
      <c r="HL4" s="564"/>
      <c r="HM4" s="564"/>
      <c r="HN4" s="564"/>
      <c r="HO4" s="564"/>
      <c r="HP4" s="564"/>
      <c r="HQ4" s="564"/>
      <c r="HR4" s="564"/>
      <c r="HS4" s="564"/>
      <c r="HT4" s="564"/>
      <c r="HU4" s="564"/>
      <c r="HV4" s="564"/>
      <c r="HW4" s="564"/>
      <c r="HX4" s="564"/>
      <c r="HY4" s="564"/>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4"/>
      <c r="ME4" s="564"/>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4"/>
      <c r="OH4" s="564"/>
      <c r="OI4" s="564"/>
      <c r="OJ4" s="564"/>
      <c r="OK4" s="564"/>
      <c r="OL4" s="564"/>
      <c r="OM4" s="564"/>
      <c r="ON4" s="564"/>
      <c r="OO4" s="564"/>
      <c r="OP4" s="564"/>
      <c r="OQ4" s="564"/>
      <c r="OR4" s="564"/>
      <c r="OS4" s="564"/>
      <c r="OT4" s="564"/>
      <c r="OU4" s="564"/>
      <c r="OV4" s="564"/>
      <c r="OW4" s="564"/>
      <c r="OX4" s="564"/>
      <c r="OY4" s="564"/>
      <c r="OZ4" s="564"/>
      <c r="PA4" s="564"/>
      <c r="PB4" s="564"/>
      <c r="PC4" s="564"/>
      <c r="PD4" s="564"/>
      <c r="PE4" s="564"/>
      <c r="PF4" s="564"/>
      <c r="PG4" s="564"/>
      <c r="PH4" s="564"/>
      <c r="PI4" s="564"/>
      <c r="PJ4" s="564"/>
      <c r="PK4" s="564"/>
      <c r="PL4" s="564"/>
      <c r="PM4" s="564"/>
      <c r="PN4" s="564"/>
      <c r="PO4" s="564"/>
      <c r="PP4" s="564"/>
      <c r="PQ4" s="564"/>
      <c r="PR4" s="564"/>
      <c r="PS4" s="564"/>
      <c r="PT4" s="564"/>
      <c r="PU4" s="564"/>
      <c r="PV4" s="564"/>
      <c r="PW4" s="564"/>
      <c r="PX4" s="564"/>
      <c r="PY4" s="564"/>
      <c r="PZ4" s="564"/>
      <c r="QA4" s="564"/>
      <c r="QB4" s="564"/>
      <c r="QC4" s="564"/>
      <c r="QD4" s="564"/>
      <c r="QE4" s="564"/>
      <c r="QF4" s="564"/>
      <c r="QG4" s="564"/>
      <c r="QH4" s="564"/>
      <c r="QI4" s="564"/>
      <c r="QJ4" s="564"/>
      <c r="QK4" s="564"/>
      <c r="QL4" s="564"/>
      <c r="QM4" s="564"/>
      <c r="QN4" s="564"/>
      <c r="QO4" s="564"/>
      <c r="QP4" s="564"/>
      <c r="QQ4" s="564"/>
      <c r="QR4" s="564"/>
      <c r="QS4" s="564"/>
      <c r="QT4" s="564"/>
      <c r="QU4" s="564"/>
      <c r="QV4" s="564"/>
      <c r="QW4" s="564"/>
      <c r="QX4" s="564"/>
      <c r="QY4" s="564"/>
      <c r="QZ4" s="564"/>
      <c r="RA4" s="564"/>
      <c r="RB4" s="564"/>
      <c r="RC4" s="564"/>
      <c r="RD4" s="564"/>
      <c r="RE4" s="564"/>
      <c r="RF4" s="564"/>
      <c r="RG4" s="564"/>
      <c r="RH4" s="564"/>
      <c r="RI4" s="564"/>
      <c r="RJ4" s="564"/>
      <c r="RK4" s="564"/>
      <c r="RL4" s="564"/>
      <c r="RM4" s="564"/>
      <c r="RN4" s="564"/>
      <c r="RO4" s="564"/>
      <c r="RP4" s="564"/>
      <c r="RQ4" s="564"/>
      <c r="RR4" s="564"/>
      <c r="RS4" s="564"/>
      <c r="RT4" s="564"/>
      <c r="RU4" s="564"/>
      <c r="RV4" s="564"/>
      <c r="RW4" s="564"/>
      <c r="RX4" s="564"/>
      <c r="RY4" s="564"/>
      <c r="RZ4" s="564"/>
      <c r="SA4" s="564"/>
      <c r="SB4" s="564"/>
      <c r="SC4" s="564"/>
      <c r="SD4" s="564"/>
      <c r="SE4" s="564"/>
      <c r="SF4" s="564"/>
      <c r="SG4" s="564"/>
      <c r="SH4" s="564"/>
      <c r="SI4" s="564"/>
      <c r="SJ4" s="564"/>
      <c r="SK4" s="564"/>
      <c r="SL4" s="564"/>
      <c r="SM4" s="564"/>
      <c r="SN4" s="564"/>
      <c r="SO4" s="564"/>
      <c r="SP4" s="564"/>
      <c r="SQ4" s="564"/>
      <c r="SR4" s="564"/>
      <c r="SS4" s="564"/>
      <c r="ST4" s="564"/>
      <c r="SU4" s="564"/>
      <c r="SV4" s="564"/>
      <c r="SW4" s="564"/>
      <c r="SX4" s="564"/>
      <c r="SY4" s="564"/>
      <c r="SZ4" s="564"/>
      <c r="TA4" s="564"/>
      <c r="TB4" s="564"/>
      <c r="TC4" s="564"/>
      <c r="TD4" s="564"/>
      <c r="TE4" s="564"/>
      <c r="TF4" s="564"/>
      <c r="TG4" s="564"/>
      <c r="TH4" s="564"/>
      <c r="TI4" s="564"/>
      <c r="TJ4" s="564"/>
      <c r="TK4" s="564"/>
      <c r="TL4" s="564"/>
      <c r="TM4" s="564"/>
      <c r="TN4" s="564"/>
      <c r="TO4" s="564"/>
      <c r="TP4" s="564"/>
      <c r="TQ4" s="564"/>
      <c r="TR4" s="564"/>
      <c r="TS4" s="564"/>
      <c r="TT4" s="564"/>
      <c r="TU4" s="564"/>
      <c r="TV4" s="564"/>
      <c r="TW4" s="564"/>
      <c r="TX4" s="564"/>
      <c r="TY4" s="564"/>
      <c r="TZ4" s="564"/>
      <c r="UA4" s="564"/>
      <c r="UB4" s="564"/>
      <c r="UC4" s="564"/>
      <c r="UD4" s="564"/>
      <c r="UE4" s="564"/>
      <c r="UF4" s="564"/>
      <c r="UG4" s="564"/>
      <c r="UH4" s="564"/>
      <c r="UI4" s="564"/>
      <c r="UJ4" s="564"/>
      <c r="UK4" s="564"/>
      <c r="UL4" s="564"/>
      <c r="UM4" s="564"/>
      <c r="UN4" s="564"/>
      <c r="UO4" s="564"/>
      <c r="UP4" s="564"/>
      <c r="UQ4" s="564"/>
      <c r="UR4" s="564"/>
      <c r="US4" s="564"/>
      <c r="UT4" s="564"/>
      <c r="UU4" s="564"/>
      <c r="UV4" s="564"/>
      <c r="UW4" s="564"/>
      <c r="UX4" s="564"/>
      <c r="UY4" s="564"/>
      <c r="UZ4" s="564"/>
      <c r="VA4" s="564"/>
      <c r="VB4" s="564"/>
      <c r="VC4" s="564"/>
      <c r="VD4" s="564"/>
      <c r="VE4" s="564"/>
      <c r="VF4" s="564"/>
      <c r="VG4" s="564"/>
      <c r="VH4" s="564"/>
      <c r="VI4" s="564"/>
      <c r="VJ4" s="564"/>
      <c r="VK4" s="564"/>
      <c r="VL4" s="564"/>
      <c r="VM4" s="564"/>
      <c r="VN4" s="564"/>
      <c r="VO4" s="564"/>
      <c r="VP4" s="564"/>
      <c r="VQ4" s="564"/>
      <c r="VR4" s="564"/>
      <c r="VS4" s="564"/>
      <c r="VT4" s="564"/>
      <c r="VU4" s="564"/>
      <c r="VV4" s="564"/>
      <c r="VW4" s="564"/>
      <c r="VX4" s="564"/>
      <c r="VY4" s="564"/>
      <c r="VZ4" s="564"/>
      <c r="WA4" s="564"/>
      <c r="WB4" s="564"/>
      <c r="WC4" s="564"/>
      <c r="WD4" s="564"/>
      <c r="WE4" s="564"/>
      <c r="WF4" s="564"/>
      <c r="WG4" s="564"/>
      <c r="WH4" s="564"/>
      <c r="WI4" s="564"/>
      <c r="WJ4" s="564"/>
      <c r="WK4" s="564"/>
      <c r="WL4" s="564"/>
      <c r="WM4" s="564"/>
      <c r="WN4" s="564"/>
      <c r="WO4" s="564"/>
      <c r="WP4" s="564"/>
      <c r="WQ4" s="564"/>
      <c r="WR4" s="564"/>
      <c r="WS4" s="564"/>
      <c r="WT4" s="564"/>
      <c r="WU4" s="564"/>
      <c r="WV4" s="564"/>
      <c r="WW4" s="564"/>
      <c r="WX4" s="564"/>
      <c r="WY4" s="564"/>
      <c r="WZ4" s="564"/>
      <c r="XA4" s="564"/>
      <c r="XB4" s="564"/>
      <c r="XC4" s="564"/>
      <c r="XD4" s="564"/>
      <c r="XE4" s="564"/>
      <c r="XF4" s="564"/>
      <c r="XG4" s="564"/>
      <c r="XH4" s="564"/>
      <c r="XI4" s="564"/>
      <c r="XJ4" s="564"/>
      <c r="XK4" s="564"/>
      <c r="XL4" s="564"/>
      <c r="XM4" s="564"/>
      <c r="XN4" s="564"/>
      <c r="XO4" s="564"/>
      <c r="XP4" s="564"/>
      <c r="XQ4" s="564"/>
      <c r="XR4" s="564"/>
      <c r="XS4" s="564"/>
      <c r="XT4" s="564"/>
      <c r="XU4" s="564"/>
      <c r="XV4" s="564"/>
      <c r="XW4" s="564"/>
      <c r="XX4" s="564"/>
      <c r="XY4" s="564"/>
      <c r="XZ4" s="564"/>
      <c r="YA4" s="564"/>
      <c r="YB4" s="564"/>
      <c r="YC4" s="564"/>
      <c r="YD4" s="564"/>
      <c r="YE4" s="564"/>
      <c r="YF4" s="564"/>
      <c r="YG4" s="564"/>
      <c r="YH4" s="564"/>
      <c r="YI4" s="564"/>
      <c r="YJ4" s="564"/>
      <c r="YK4" s="564"/>
      <c r="YL4" s="564"/>
      <c r="YM4" s="564"/>
      <c r="YN4" s="564"/>
      <c r="YO4" s="564"/>
      <c r="YP4" s="564"/>
      <c r="YQ4" s="564"/>
      <c r="YR4" s="564"/>
      <c r="YS4" s="564"/>
      <c r="YT4" s="564"/>
      <c r="YU4" s="564"/>
      <c r="YV4" s="564"/>
      <c r="YW4" s="564"/>
      <c r="YX4" s="564"/>
      <c r="YY4" s="564"/>
      <c r="YZ4" s="564"/>
      <c r="ZA4" s="564"/>
      <c r="ZB4" s="564"/>
      <c r="ZC4" s="564"/>
      <c r="ZD4" s="564"/>
      <c r="ZE4" s="564"/>
      <c r="ZF4" s="564"/>
      <c r="ZG4" s="564"/>
      <c r="ZH4" s="564"/>
      <c r="ZI4" s="564"/>
      <c r="ZJ4" s="564"/>
      <c r="ZK4" s="564"/>
      <c r="ZL4" s="564"/>
      <c r="ZM4" s="564"/>
      <c r="ZN4" s="564"/>
      <c r="ZO4" s="564"/>
      <c r="ZP4" s="564"/>
      <c r="ZQ4" s="564"/>
      <c r="ZR4" s="564"/>
      <c r="ZS4" s="564"/>
      <c r="ZT4" s="564"/>
      <c r="ZU4" s="564"/>
      <c r="ZV4" s="564"/>
      <c r="ZW4" s="564"/>
      <c r="ZX4" s="564"/>
      <c r="ZY4" s="564"/>
      <c r="ZZ4" s="564"/>
      <c r="AAA4" s="564"/>
      <c r="AAB4" s="564"/>
      <c r="AAC4" s="564"/>
      <c r="AAD4" s="564"/>
      <c r="AAE4" s="564"/>
      <c r="AAF4" s="564"/>
      <c r="AAG4" s="564"/>
      <c r="AAH4" s="564"/>
      <c r="AAI4" s="564"/>
      <c r="AAJ4" s="564"/>
      <c r="AAK4" s="564"/>
      <c r="AAL4" s="564"/>
      <c r="AAM4" s="564"/>
      <c r="AAN4" s="564"/>
      <c r="AAO4" s="564"/>
      <c r="AAP4" s="564"/>
      <c r="AAQ4" s="564"/>
      <c r="AAR4" s="564"/>
      <c r="AAS4" s="564"/>
      <c r="AAT4" s="564"/>
      <c r="AAU4" s="564"/>
      <c r="AAV4" s="564"/>
      <c r="AAW4" s="564"/>
      <c r="AAX4" s="564"/>
      <c r="AAY4" s="564"/>
      <c r="AAZ4" s="564"/>
      <c r="ABA4" s="564"/>
      <c r="ABB4" s="564"/>
      <c r="ABC4" s="564"/>
      <c r="ABD4" s="564"/>
      <c r="ABE4" s="564"/>
      <c r="ABF4" s="564"/>
      <c r="ABG4" s="564"/>
      <c r="ABH4" s="564"/>
      <c r="ABI4" s="564"/>
      <c r="ABJ4" s="564"/>
      <c r="ABK4" s="564"/>
      <c r="ABL4" s="564"/>
      <c r="ABM4" s="564"/>
      <c r="ABN4" s="564"/>
      <c r="ABO4" s="564"/>
      <c r="ABP4" s="564"/>
      <c r="ABQ4" s="564"/>
      <c r="ABR4" s="564"/>
      <c r="ABS4" s="564"/>
      <c r="ABT4" s="564"/>
      <c r="ABU4" s="564"/>
      <c r="ABV4" s="564"/>
      <c r="ABW4" s="564"/>
      <c r="ABX4" s="564"/>
      <c r="ABY4" s="564"/>
      <c r="ABZ4" s="564"/>
      <c r="ACA4" s="564"/>
      <c r="ACB4" s="564"/>
      <c r="ACC4" s="564"/>
      <c r="ACD4" s="564"/>
      <c r="ACE4" s="564"/>
      <c r="ACF4" s="564"/>
      <c r="ACG4" s="564"/>
      <c r="ACH4" s="564"/>
      <c r="ACI4" s="564"/>
      <c r="ACJ4" s="564"/>
      <c r="ACK4" s="564"/>
      <c r="ACL4" s="564"/>
      <c r="ACM4" s="564"/>
      <c r="ACN4" s="564"/>
      <c r="ACO4" s="564"/>
      <c r="ACP4" s="564"/>
      <c r="ACQ4" s="564"/>
      <c r="ACR4" s="564"/>
      <c r="ACS4" s="564"/>
      <c r="ACT4" s="564"/>
      <c r="ACU4" s="564"/>
      <c r="ACV4" s="564"/>
      <c r="ACW4" s="564"/>
      <c r="ACX4" s="564"/>
      <c r="ACY4" s="564"/>
      <c r="ACZ4" s="564"/>
      <c r="ADA4" s="564"/>
      <c r="ADB4" s="564"/>
      <c r="ADC4" s="564"/>
      <c r="ADD4" s="564"/>
      <c r="ADE4" s="564"/>
      <c r="ADF4" s="564"/>
      <c r="ADG4" s="564"/>
      <c r="ADH4" s="564"/>
      <c r="ADI4" s="564"/>
      <c r="ADJ4" s="564"/>
      <c r="ADK4" s="564"/>
      <c r="ADL4" s="564"/>
      <c r="ADM4" s="564"/>
      <c r="ADN4" s="564"/>
      <c r="ADO4" s="564"/>
      <c r="ADP4" s="564"/>
      <c r="ADQ4" s="564"/>
      <c r="ADR4" s="564"/>
      <c r="ADS4" s="564"/>
      <c r="ADT4" s="564"/>
      <c r="ADU4" s="564"/>
      <c r="ADV4" s="564"/>
      <c r="ADW4" s="564"/>
      <c r="ADX4" s="564"/>
      <c r="ADY4" s="564"/>
      <c r="ADZ4" s="564"/>
      <c r="AEA4" s="564"/>
      <c r="AEB4" s="564"/>
      <c r="AEC4" s="564"/>
      <c r="AED4" s="564"/>
      <c r="AEE4" s="564"/>
      <c r="AEF4" s="564"/>
      <c r="AEG4" s="564"/>
      <c r="AEH4" s="564"/>
      <c r="AEI4" s="564"/>
      <c r="AEJ4" s="564"/>
      <c r="AEK4" s="564"/>
      <c r="AEL4" s="564"/>
      <c r="AEM4" s="564"/>
      <c r="AEN4" s="564"/>
      <c r="AEO4" s="564"/>
      <c r="AEP4" s="564"/>
      <c r="AEQ4" s="564"/>
      <c r="AER4" s="564"/>
      <c r="AES4" s="564"/>
      <c r="AET4" s="564"/>
      <c r="AEU4" s="564"/>
      <c r="AEV4" s="564"/>
      <c r="AEW4" s="564"/>
      <c r="AEX4" s="564"/>
      <c r="AEY4" s="564"/>
      <c r="AEZ4" s="564"/>
      <c r="AFA4" s="564"/>
      <c r="AFB4" s="564"/>
      <c r="AFC4" s="564"/>
      <c r="AFD4" s="564"/>
      <c r="AFE4" s="564"/>
      <c r="AFF4" s="564"/>
      <c r="AFG4" s="564"/>
      <c r="AFH4" s="564"/>
      <c r="AFI4" s="564"/>
      <c r="AFJ4" s="564"/>
      <c r="AFK4" s="564"/>
      <c r="AFL4" s="564"/>
      <c r="AFM4" s="564"/>
      <c r="AFN4" s="564"/>
      <c r="AFO4" s="564"/>
      <c r="AFP4" s="564"/>
      <c r="AFQ4" s="564"/>
      <c r="AFR4" s="564"/>
      <c r="AFS4" s="564"/>
      <c r="AFT4" s="564"/>
      <c r="AFU4" s="564"/>
      <c r="AFV4" s="564"/>
      <c r="AFW4" s="564"/>
      <c r="AFX4" s="564"/>
      <c r="AFY4" s="564"/>
      <c r="AFZ4" s="564"/>
      <c r="AGA4" s="564"/>
      <c r="AGB4" s="564"/>
      <c r="AGC4" s="564"/>
      <c r="AGD4" s="564"/>
      <c r="AGE4" s="564"/>
      <c r="AGF4" s="564"/>
      <c r="AGG4" s="564"/>
      <c r="AGH4" s="564"/>
      <c r="AGI4" s="564"/>
      <c r="AGJ4" s="564"/>
      <c r="AGK4" s="564"/>
      <c r="AGL4" s="564"/>
      <c r="AGM4" s="564"/>
      <c r="AGN4" s="564"/>
      <c r="AGO4" s="564"/>
      <c r="AGP4" s="564"/>
      <c r="AGQ4" s="564"/>
      <c r="AGR4" s="564"/>
      <c r="AGS4" s="564"/>
      <c r="AGT4" s="564"/>
      <c r="AGU4" s="564"/>
      <c r="AGV4" s="564"/>
      <c r="AGW4" s="564"/>
      <c r="AGX4" s="564"/>
      <c r="AGY4" s="564"/>
      <c r="AGZ4" s="564"/>
      <c r="AHA4" s="564"/>
      <c r="AHB4" s="564"/>
      <c r="AHC4" s="564"/>
      <c r="AHD4" s="564"/>
      <c r="AHE4" s="564"/>
      <c r="AHF4" s="564"/>
      <c r="AHG4" s="564"/>
      <c r="AHH4" s="564"/>
      <c r="AHI4" s="564"/>
      <c r="AHJ4" s="564"/>
      <c r="AHK4" s="564"/>
      <c r="AHL4" s="564"/>
      <c r="AHM4" s="564"/>
      <c r="AHN4" s="564"/>
      <c r="AHO4" s="564"/>
      <c r="AHP4" s="564"/>
      <c r="AHQ4" s="564"/>
      <c r="AHR4" s="564"/>
      <c r="AHS4" s="564"/>
      <c r="AHT4" s="564"/>
      <c r="AHU4" s="564"/>
      <c r="AHV4" s="564"/>
      <c r="AHW4" s="564"/>
      <c r="AHX4" s="564"/>
      <c r="AHY4" s="564"/>
      <c r="AHZ4" s="564"/>
      <c r="AIA4" s="564"/>
      <c r="AIB4" s="564"/>
      <c r="AIC4" s="564"/>
      <c r="AID4" s="564"/>
      <c r="AIE4" s="564"/>
      <c r="AIF4" s="564"/>
      <c r="AIG4" s="564"/>
      <c r="AIH4" s="564"/>
      <c r="AII4" s="564"/>
      <c r="AIJ4" s="564"/>
      <c r="AIK4" s="564"/>
      <c r="AIL4" s="564"/>
      <c r="AIM4" s="564"/>
      <c r="AIN4" s="564"/>
      <c r="AIO4" s="564"/>
      <c r="AIP4" s="564"/>
      <c r="AIQ4" s="564"/>
      <c r="AIR4" s="564"/>
      <c r="AIS4" s="564"/>
      <c r="AIT4" s="564"/>
      <c r="AIU4" s="564"/>
      <c r="AIV4" s="564"/>
      <c r="AIW4" s="564"/>
      <c r="AIX4" s="564"/>
      <c r="AIY4" s="564"/>
      <c r="AIZ4" s="564"/>
      <c r="AJA4" s="564"/>
      <c r="AJB4" s="564"/>
      <c r="AJC4" s="564"/>
      <c r="AJD4" s="564"/>
      <c r="AJE4" s="564"/>
      <c r="AJF4" s="564"/>
      <c r="AJG4" s="564"/>
      <c r="AJH4" s="564"/>
      <c r="AJI4" s="564"/>
      <c r="AJJ4" s="564"/>
      <c r="AJK4" s="564"/>
      <c r="AJL4" s="564"/>
      <c r="AJM4" s="564"/>
      <c r="AJN4" s="564"/>
      <c r="AJO4" s="564"/>
      <c r="AJP4" s="564"/>
      <c r="AJQ4" s="564"/>
      <c r="AJR4" s="564"/>
      <c r="AJS4" s="564"/>
      <c r="AJT4" s="564"/>
      <c r="AJU4" s="564"/>
      <c r="AJV4" s="564"/>
      <c r="AJW4" s="564"/>
      <c r="AJX4" s="564"/>
      <c r="AJY4" s="564"/>
      <c r="AJZ4" s="564"/>
      <c r="AKA4" s="564"/>
      <c r="AKB4" s="564"/>
      <c r="AKC4" s="564"/>
      <c r="AKD4" s="564"/>
      <c r="AKE4" s="564"/>
      <c r="AKF4" s="564"/>
      <c r="AKG4" s="564"/>
      <c r="AKH4" s="564"/>
      <c r="AKI4" s="564"/>
      <c r="AKJ4" s="564"/>
      <c r="AKK4" s="564"/>
      <c r="AKL4" s="564"/>
      <c r="AKM4" s="564"/>
      <c r="AKN4" s="564"/>
      <c r="AKO4" s="564"/>
      <c r="AKP4" s="564"/>
      <c r="AKQ4" s="564"/>
      <c r="AKR4" s="564"/>
      <c r="AKS4" s="564"/>
      <c r="AKT4" s="564"/>
      <c r="AKU4" s="564"/>
      <c r="AKV4" s="564"/>
      <c r="AKW4" s="564"/>
      <c r="AKX4" s="564"/>
      <c r="AKY4" s="564"/>
      <c r="AKZ4" s="564"/>
      <c r="ALA4" s="564"/>
      <c r="ALB4" s="564"/>
      <c r="ALC4" s="564"/>
      <c r="ALD4" s="564"/>
      <c r="ALE4" s="564"/>
      <c r="ALF4" s="564"/>
      <c r="ALG4" s="564"/>
      <c r="ALH4" s="564"/>
      <c r="ALI4" s="564"/>
      <c r="ALJ4" s="564"/>
      <c r="ALK4" s="564"/>
      <c r="ALL4" s="564"/>
      <c r="ALM4" s="564"/>
      <c r="ALN4" s="564"/>
      <c r="ALO4" s="564"/>
      <c r="ALP4" s="564"/>
      <c r="ALQ4" s="564"/>
      <c r="ALR4" s="564"/>
      <c r="ALS4" s="564"/>
      <c r="ALT4" s="564"/>
      <c r="ALU4" s="564"/>
      <c r="ALV4" s="564"/>
      <c r="ALW4" s="564"/>
      <c r="ALX4" s="564"/>
      <c r="ALY4" s="564"/>
      <c r="ALZ4" s="564"/>
      <c r="AMA4" s="564"/>
      <c r="AMB4" s="564"/>
      <c r="AMC4" s="564"/>
      <c r="AMD4" s="564"/>
      <c r="AME4" s="564"/>
      <c r="AMF4" s="564"/>
      <c r="AMG4" s="564"/>
      <c r="AMH4" s="564"/>
      <c r="AMI4" s="564"/>
      <c r="AMJ4" s="564"/>
      <c r="AMK4" s="564"/>
      <c r="AML4" s="564"/>
      <c r="AMM4" s="564"/>
      <c r="AMN4" s="564"/>
      <c r="AMO4" s="564"/>
      <c r="AMP4" s="564"/>
      <c r="AMQ4" s="564"/>
      <c r="AMR4" s="564"/>
      <c r="AMS4" s="564"/>
      <c r="AMT4" s="564"/>
      <c r="AMU4" s="564"/>
      <c r="AMV4" s="564"/>
      <c r="AMW4" s="564"/>
      <c r="AMX4" s="564"/>
      <c r="AMY4" s="564"/>
      <c r="AMZ4" s="564"/>
      <c r="ANA4" s="564"/>
      <c r="ANB4" s="564"/>
      <c r="ANC4" s="564"/>
      <c r="AND4" s="564"/>
      <c r="ANE4" s="564"/>
      <c r="ANF4" s="564"/>
      <c r="ANG4" s="564"/>
      <c r="ANH4" s="564"/>
      <c r="ANI4" s="564"/>
      <c r="ANJ4" s="564"/>
      <c r="ANK4" s="564"/>
      <c r="ANL4" s="564"/>
      <c r="ANM4" s="564"/>
      <c r="ANN4" s="564"/>
      <c r="ANO4" s="564"/>
      <c r="ANP4" s="564"/>
      <c r="ANQ4" s="564"/>
      <c r="ANR4" s="564"/>
      <c r="ANS4" s="564"/>
      <c r="ANT4" s="564"/>
      <c r="ANU4" s="564"/>
      <c r="ANV4" s="564"/>
      <c r="ANW4" s="564"/>
      <c r="ANX4" s="564"/>
      <c r="ANY4" s="564"/>
      <c r="ANZ4" s="564"/>
      <c r="AOA4" s="564"/>
      <c r="AOB4" s="564"/>
      <c r="AOC4" s="564"/>
      <c r="AOD4" s="564"/>
      <c r="AOE4" s="564"/>
      <c r="AOF4" s="564"/>
      <c r="AOG4" s="564"/>
      <c r="AOH4" s="564"/>
      <c r="AOI4" s="564"/>
      <c r="AOJ4" s="564"/>
      <c r="AOK4" s="564"/>
      <c r="AOL4" s="564"/>
      <c r="AOM4" s="564"/>
      <c r="AON4" s="564"/>
      <c r="AOO4" s="564"/>
      <c r="AOP4" s="564"/>
      <c r="AOQ4" s="564"/>
      <c r="AOR4" s="564"/>
      <c r="AOS4" s="564"/>
      <c r="AOT4" s="564"/>
      <c r="AOU4" s="564"/>
      <c r="AOV4" s="564"/>
      <c r="AOW4" s="564"/>
      <c r="AOX4" s="564"/>
      <c r="AOY4" s="564"/>
      <c r="AOZ4" s="564"/>
      <c r="APA4" s="564"/>
      <c r="APB4" s="564"/>
      <c r="APC4" s="564"/>
      <c r="APD4" s="564"/>
      <c r="APE4" s="564"/>
      <c r="APF4" s="564"/>
      <c r="APG4" s="564"/>
      <c r="APH4" s="564"/>
      <c r="API4" s="564"/>
      <c r="APJ4" s="564"/>
      <c r="APK4" s="564"/>
      <c r="APL4" s="564"/>
      <c r="APM4" s="564"/>
      <c r="APN4" s="564"/>
      <c r="APO4" s="564"/>
      <c r="APP4" s="564"/>
      <c r="APQ4" s="564"/>
      <c r="APR4" s="564"/>
      <c r="APS4" s="564"/>
      <c r="APT4" s="564"/>
      <c r="APU4" s="564"/>
      <c r="APV4" s="564"/>
      <c r="APW4" s="564"/>
      <c r="APX4" s="564"/>
      <c r="APY4" s="564"/>
      <c r="APZ4" s="564"/>
      <c r="AQA4" s="564"/>
      <c r="AQB4" s="564"/>
      <c r="AQC4" s="564"/>
      <c r="AQD4" s="564"/>
      <c r="AQE4" s="564"/>
      <c r="AQF4" s="564"/>
      <c r="AQG4" s="564"/>
      <c r="AQH4" s="564"/>
      <c r="AQI4" s="564"/>
      <c r="AQJ4" s="564"/>
      <c r="AQK4" s="564"/>
      <c r="AQL4" s="564"/>
      <c r="AQM4" s="564"/>
      <c r="AQN4" s="564"/>
      <c r="AQO4" s="564"/>
      <c r="AQP4" s="564"/>
      <c r="AQQ4" s="564"/>
      <c r="AQR4" s="564"/>
      <c r="AQS4" s="564"/>
      <c r="AQT4" s="564"/>
      <c r="AQU4" s="564"/>
      <c r="AQV4" s="564"/>
      <c r="AQW4" s="564"/>
      <c r="AQX4" s="564"/>
      <c r="AQY4" s="564"/>
      <c r="AQZ4" s="564"/>
      <c r="ARA4" s="564"/>
      <c r="ARB4" s="564"/>
      <c r="ARC4" s="564"/>
      <c r="ARD4" s="564"/>
      <c r="ARE4" s="564"/>
      <c r="ARF4" s="564"/>
      <c r="ARG4" s="564"/>
      <c r="ARH4" s="564"/>
      <c r="ARI4" s="564"/>
      <c r="ARJ4" s="564"/>
      <c r="ARK4" s="564"/>
      <c r="ARL4" s="564"/>
      <c r="ARM4" s="564"/>
      <c r="ARN4" s="564"/>
      <c r="ARO4" s="564"/>
      <c r="ARP4" s="564"/>
      <c r="ARQ4" s="564"/>
      <c r="ARR4" s="564"/>
      <c r="ARS4" s="564"/>
      <c r="ART4" s="564"/>
      <c r="ARU4" s="564"/>
      <c r="ARV4" s="564"/>
      <c r="ARW4" s="564"/>
      <c r="ARX4" s="564"/>
      <c r="ARY4" s="564"/>
      <c r="ARZ4" s="564"/>
      <c r="ASA4" s="564"/>
      <c r="ASB4" s="564"/>
      <c r="ASC4" s="564"/>
      <c r="ASD4" s="564"/>
      <c r="ASE4" s="564"/>
      <c r="ASF4" s="564"/>
      <c r="ASG4" s="564"/>
      <c r="ASH4" s="564"/>
      <c r="ASI4" s="564"/>
      <c r="ASJ4" s="564"/>
      <c r="ASK4" s="564"/>
      <c r="ASL4" s="564"/>
      <c r="ASM4" s="564"/>
      <c r="ASN4" s="564"/>
      <c r="ASO4" s="564"/>
      <c r="ASP4" s="564"/>
      <c r="ASQ4" s="564"/>
      <c r="ASR4" s="564"/>
      <c r="ASS4" s="564"/>
      <c r="AST4" s="564"/>
      <c r="ASU4" s="564"/>
      <c r="ASV4" s="564"/>
      <c r="ASW4" s="564"/>
      <c r="ASX4" s="564"/>
      <c r="ASY4" s="564"/>
      <c r="ASZ4" s="564"/>
      <c r="ATA4" s="564"/>
      <c r="ATB4" s="564"/>
      <c r="ATC4" s="564"/>
      <c r="ATD4" s="564"/>
      <c r="ATE4" s="564"/>
      <c r="ATF4" s="564"/>
      <c r="ATG4" s="564"/>
      <c r="ATH4" s="564"/>
      <c r="ATI4" s="564"/>
      <c r="ATJ4" s="564"/>
      <c r="ATK4" s="564"/>
      <c r="ATL4" s="564"/>
      <c r="ATM4" s="564"/>
      <c r="ATN4" s="564"/>
      <c r="ATO4" s="564"/>
      <c r="ATP4" s="564"/>
      <c r="ATQ4" s="564"/>
      <c r="ATR4" s="564"/>
      <c r="ATS4" s="564"/>
      <c r="ATT4" s="564"/>
      <c r="ATU4" s="564"/>
      <c r="ATV4" s="564"/>
      <c r="ATW4" s="564"/>
      <c r="ATX4" s="564"/>
      <c r="ATY4" s="564"/>
      <c r="ATZ4" s="564"/>
      <c r="AUA4" s="564"/>
      <c r="AUB4" s="564"/>
      <c r="AUC4" s="564"/>
      <c r="AUD4" s="564"/>
      <c r="AUE4" s="564"/>
      <c r="AUF4" s="564"/>
      <c r="AUG4" s="564"/>
      <c r="AUH4" s="564"/>
      <c r="AUI4" s="564"/>
      <c r="AUJ4" s="564"/>
      <c r="AUK4" s="564"/>
      <c r="AUL4" s="564"/>
      <c r="AUM4" s="564"/>
      <c r="AUN4" s="564"/>
      <c r="AUO4" s="564"/>
      <c r="AUP4" s="564"/>
      <c r="AUQ4" s="564"/>
      <c r="AUR4" s="564"/>
      <c r="AUS4" s="564"/>
      <c r="AUT4" s="564"/>
      <c r="AUU4" s="564"/>
      <c r="AUV4" s="564"/>
      <c r="AUW4" s="564"/>
      <c r="AUX4" s="564"/>
      <c r="AUY4" s="564"/>
      <c r="AUZ4" s="564"/>
      <c r="AVA4" s="564"/>
      <c r="AVB4" s="564"/>
      <c r="AVC4" s="564"/>
      <c r="AVD4" s="564"/>
      <c r="AVE4" s="564"/>
      <c r="AVF4" s="564"/>
      <c r="AVG4" s="564"/>
      <c r="AVH4" s="564"/>
      <c r="AVI4" s="564"/>
      <c r="AVJ4" s="564"/>
      <c r="AVK4" s="564"/>
      <c r="AVL4" s="564"/>
      <c r="AVM4" s="564"/>
      <c r="AVN4" s="564"/>
      <c r="AVO4" s="564"/>
      <c r="AVP4" s="564"/>
      <c r="AVQ4" s="564"/>
      <c r="AVR4" s="564"/>
      <c r="AVS4" s="564"/>
      <c r="AVT4" s="564"/>
      <c r="AVU4" s="564"/>
      <c r="AVV4" s="564"/>
      <c r="AVW4" s="564"/>
      <c r="AVX4" s="564"/>
      <c r="AVY4" s="564"/>
      <c r="AVZ4" s="564"/>
      <c r="AWA4" s="564"/>
      <c r="AWB4" s="564"/>
      <c r="AWC4" s="564"/>
      <c r="AWD4" s="564"/>
      <c r="AWE4" s="564"/>
      <c r="AWF4" s="564"/>
      <c r="AWG4" s="564"/>
      <c r="AWH4" s="564"/>
      <c r="AWI4" s="564"/>
      <c r="AWJ4" s="564"/>
      <c r="AWK4" s="564"/>
      <c r="AWL4" s="564"/>
      <c r="AWM4" s="564"/>
      <c r="AWN4" s="564"/>
      <c r="AWO4" s="564"/>
      <c r="AWP4" s="564"/>
      <c r="AWQ4" s="564"/>
      <c r="AWR4" s="564"/>
      <c r="AWS4" s="564"/>
      <c r="AWT4" s="564"/>
      <c r="AWU4" s="564"/>
      <c r="AWV4" s="564"/>
      <c r="AWW4" s="564"/>
      <c r="AWX4" s="564"/>
      <c r="AWY4" s="564"/>
      <c r="AWZ4" s="564"/>
      <c r="AXA4" s="564"/>
      <c r="AXB4" s="564"/>
      <c r="AXC4" s="564"/>
      <c r="AXD4" s="564"/>
      <c r="AXE4" s="564"/>
      <c r="AXF4" s="564"/>
      <c r="AXG4" s="564"/>
      <c r="AXH4" s="564"/>
      <c r="AXI4" s="564"/>
      <c r="AXJ4" s="564"/>
      <c r="AXK4" s="564"/>
      <c r="AXL4" s="564"/>
      <c r="AXM4" s="564"/>
      <c r="AXN4" s="564"/>
      <c r="AXO4" s="564"/>
      <c r="AXP4" s="564"/>
      <c r="AXQ4" s="564"/>
      <c r="AXR4" s="564"/>
      <c r="AXS4" s="564"/>
      <c r="AXT4" s="564"/>
      <c r="AXU4" s="564"/>
      <c r="AXV4" s="564"/>
      <c r="AXW4" s="564"/>
      <c r="AXX4" s="564"/>
      <c r="AXY4" s="564"/>
      <c r="AXZ4" s="564"/>
      <c r="AYA4" s="564"/>
      <c r="AYB4" s="564"/>
      <c r="AYC4" s="564"/>
      <c r="AYD4" s="564"/>
      <c r="AYE4" s="564"/>
      <c r="AYF4" s="564"/>
      <c r="AYG4" s="564"/>
      <c r="AYH4" s="564"/>
      <c r="AYI4" s="564"/>
      <c r="AYJ4" s="564"/>
      <c r="AYK4" s="564"/>
      <c r="AYL4" s="564"/>
      <c r="AYM4" s="564"/>
      <c r="AYN4" s="564"/>
      <c r="AYO4" s="564"/>
      <c r="AYP4" s="564"/>
      <c r="AYQ4" s="564"/>
      <c r="AYR4" s="564"/>
      <c r="AYS4" s="564"/>
      <c r="AYT4" s="564"/>
      <c r="AYU4" s="564"/>
      <c r="AYV4" s="564"/>
      <c r="AYW4" s="564"/>
      <c r="AYX4" s="564"/>
      <c r="AYY4" s="564"/>
      <c r="AYZ4" s="564"/>
      <c r="AZA4" s="564"/>
      <c r="AZB4" s="564"/>
      <c r="AZC4" s="564"/>
      <c r="AZD4" s="564"/>
      <c r="AZE4" s="564"/>
      <c r="AZF4" s="564"/>
      <c r="AZG4" s="564"/>
      <c r="AZH4" s="564"/>
      <c r="AZI4" s="564"/>
      <c r="AZJ4" s="564"/>
      <c r="AZK4" s="564"/>
      <c r="AZL4" s="564"/>
      <c r="AZM4" s="564"/>
      <c r="AZN4" s="564"/>
      <c r="AZO4" s="564"/>
      <c r="AZP4" s="564"/>
      <c r="AZQ4" s="564"/>
      <c r="AZR4" s="564"/>
      <c r="AZS4" s="564"/>
      <c r="AZT4" s="564"/>
      <c r="AZU4" s="564"/>
      <c r="AZV4" s="564"/>
      <c r="AZW4" s="564"/>
      <c r="AZX4" s="564"/>
      <c r="AZY4" s="564"/>
      <c r="AZZ4" s="564"/>
      <c r="BAA4" s="564"/>
      <c r="BAB4" s="564"/>
      <c r="BAC4" s="564"/>
      <c r="BAD4" s="564"/>
      <c r="BAE4" s="564"/>
      <c r="BAF4" s="564"/>
      <c r="BAG4" s="564"/>
      <c r="BAH4" s="564"/>
      <c r="BAI4" s="564"/>
      <c r="BAJ4" s="564"/>
      <c r="BAK4" s="564"/>
      <c r="BAL4" s="564"/>
      <c r="BAM4" s="564"/>
      <c r="BAN4" s="564"/>
      <c r="BAO4" s="564"/>
      <c r="BAP4" s="564"/>
      <c r="BAQ4" s="564"/>
      <c r="BAR4" s="564"/>
      <c r="BAS4" s="564"/>
      <c r="BAT4" s="564"/>
      <c r="BAU4" s="564"/>
      <c r="BAV4" s="564"/>
      <c r="BAW4" s="564"/>
      <c r="BAX4" s="564"/>
      <c r="BAY4" s="564"/>
      <c r="BAZ4" s="564"/>
      <c r="BBA4" s="564"/>
      <c r="BBB4" s="564"/>
      <c r="BBC4" s="564"/>
      <c r="BBD4" s="564"/>
      <c r="BBE4" s="564"/>
      <c r="BBF4" s="564"/>
      <c r="BBG4" s="564"/>
      <c r="BBH4" s="564"/>
      <c r="BBI4" s="564"/>
      <c r="BBJ4" s="564"/>
      <c r="BBK4" s="564"/>
      <c r="BBL4" s="564"/>
      <c r="BBM4" s="564"/>
      <c r="BBN4" s="564"/>
      <c r="BBO4" s="564"/>
      <c r="BBP4" s="564"/>
      <c r="BBQ4" s="564"/>
      <c r="BBR4" s="564"/>
      <c r="BBS4" s="564"/>
      <c r="BBT4" s="564"/>
      <c r="BBU4" s="564"/>
      <c r="BBV4" s="564"/>
      <c r="BBW4" s="564"/>
      <c r="BBX4" s="564"/>
      <c r="BBY4" s="564"/>
      <c r="BBZ4" s="564"/>
      <c r="BCA4" s="564"/>
      <c r="BCB4" s="564"/>
      <c r="BCC4" s="564"/>
      <c r="BCD4" s="564"/>
      <c r="BCE4" s="564"/>
      <c r="BCF4" s="564"/>
      <c r="BCG4" s="564"/>
      <c r="BCH4" s="564"/>
      <c r="BCI4" s="564"/>
      <c r="BCJ4" s="564"/>
      <c r="BCK4" s="564"/>
      <c r="BCL4" s="564"/>
      <c r="BCM4" s="564"/>
      <c r="BCN4" s="564"/>
      <c r="BCO4" s="564"/>
      <c r="BCP4" s="564"/>
      <c r="BCQ4" s="564"/>
      <c r="BCR4" s="564"/>
      <c r="BCS4" s="564"/>
      <c r="BCT4" s="564"/>
      <c r="BCU4" s="564"/>
      <c r="BCV4" s="564"/>
      <c r="BCW4" s="564"/>
      <c r="BCX4" s="564"/>
      <c r="BCY4" s="564"/>
      <c r="BCZ4" s="564"/>
      <c r="BDA4" s="564"/>
      <c r="BDB4" s="564"/>
      <c r="BDC4" s="564"/>
      <c r="BDD4" s="564"/>
      <c r="BDE4" s="564"/>
      <c r="BDF4" s="564"/>
      <c r="BDG4" s="564"/>
      <c r="BDH4" s="564"/>
      <c r="BDI4" s="564"/>
      <c r="BDJ4" s="564"/>
      <c r="BDK4" s="564"/>
      <c r="BDL4" s="564"/>
      <c r="BDM4" s="564"/>
      <c r="BDN4" s="564"/>
      <c r="BDO4" s="564"/>
      <c r="BDP4" s="564"/>
      <c r="BDQ4" s="564"/>
      <c r="BDR4" s="564"/>
      <c r="BDS4" s="564"/>
      <c r="BDT4" s="564"/>
      <c r="BDU4" s="564"/>
      <c r="BDV4" s="564"/>
      <c r="BDW4" s="564"/>
      <c r="BDX4" s="564"/>
      <c r="BDY4" s="564"/>
      <c r="BDZ4" s="564"/>
      <c r="BEA4" s="564"/>
      <c r="BEB4" s="564"/>
      <c r="BEC4" s="564"/>
      <c r="BED4" s="564"/>
      <c r="BEE4" s="564"/>
      <c r="BEF4" s="564"/>
      <c r="BEG4" s="564"/>
      <c r="BEH4" s="564"/>
      <c r="BEI4" s="564"/>
      <c r="BEJ4" s="564"/>
      <c r="BEK4" s="564"/>
      <c r="BEL4" s="564"/>
      <c r="BEM4" s="564"/>
      <c r="BEN4" s="564"/>
      <c r="BEO4" s="564"/>
      <c r="BEP4" s="564"/>
      <c r="BEQ4" s="564"/>
      <c r="BER4" s="564"/>
      <c r="BES4" s="564"/>
      <c r="BET4" s="564"/>
      <c r="BEU4" s="564"/>
      <c r="BEV4" s="564"/>
      <c r="BEW4" s="564"/>
      <c r="BEX4" s="564"/>
      <c r="BEY4" s="564"/>
      <c r="BEZ4" s="564"/>
      <c r="BFA4" s="564"/>
      <c r="BFB4" s="564"/>
      <c r="BFC4" s="564"/>
      <c r="BFD4" s="564"/>
      <c r="BFE4" s="564"/>
      <c r="BFF4" s="564"/>
      <c r="BFG4" s="564"/>
      <c r="BFH4" s="564"/>
      <c r="BFI4" s="564"/>
      <c r="BFJ4" s="564"/>
      <c r="BFK4" s="564"/>
      <c r="BFL4" s="564"/>
      <c r="BFM4" s="564"/>
      <c r="BFN4" s="564"/>
      <c r="BFO4" s="564"/>
      <c r="BFP4" s="564"/>
      <c r="BFQ4" s="564"/>
      <c r="BFR4" s="564"/>
      <c r="BFS4" s="564"/>
      <c r="BFT4" s="564"/>
      <c r="BFU4" s="564"/>
      <c r="BFV4" s="564"/>
      <c r="BFW4" s="564"/>
      <c r="BFX4" s="564"/>
      <c r="BFY4" s="564"/>
      <c r="BFZ4" s="564"/>
      <c r="BGA4" s="564"/>
      <c r="BGB4" s="564"/>
      <c r="BGC4" s="564"/>
      <c r="BGD4" s="564"/>
      <c r="BGE4" s="564"/>
      <c r="BGF4" s="564"/>
      <c r="BGG4" s="564"/>
      <c r="BGH4" s="564"/>
      <c r="BGI4" s="564"/>
      <c r="BGJ4" s="564"/>
      <c r="BGK4" s="564"/>
      <c r="BGL4" s="564"/>
      <c r="BGM4" s="564"/>
      <c r="BGN4" s="564"/>
      <c r="BGO4" s="564"/>
      <c r="BGP4" s="564"/>
      <c r="BGQ4" s="564"/>
      <c r="BGR4" s="564"/>
      <c r="BGS4" s="564"/>
      <c r="BGT4" s="564"/>
      <c r="BGU4" s="564"/>
      <c r="BGV4" s="564"/>
      <c r="BGW4" s="564"/>
      <c r="BGX4" s="564"/>
      <c r="BGY4" s="564"/>
      <c r="BGZ4" s="564"/>
      <c r="BHA4" s="564"/>
      <c r="BHB4" s="564"/>
      <c r="BHC4" s="564"/>
      <c r="BHD4" s="564"/>
      <c r="BHE4" s="564"/>
      <c r="BHF4" s="564"/>
      <c r="BHG4" s="564"/>
      <c r="BHH4" s="564"/>
      <c r="BHI4" s="564"/>
      <c r="BHJ4" s="564"/>
      <c r="BHK4" s="564"/>
      <c r="BHL4" s="564"/>
      <c r="BHM4" s="564"/>
      <c r="BHN4" s="564"/>
      <c r="BHO4" s="564"/>
      <c r="BHP4" s="564"/>
      <c r="BHQ4" s="564"/>
      <c r="BHR4" s="564"/>
      <c r="BHS4" s="564"/>
      <c r="BHT4" s="564"/>
      <c r="BHU4" s="564"/>
      <c r="BHV4" s="564"/>
      <c r="BHW4" s="564"/>
      <c r="BHX4" s="564"/>
      <c r="BHY4" s="564"/>
      <c r="BHZ4" s="564"/>
      <c r="BIA4" s="564"/>
      <c r="BIB4" s="564"/>
      <c r="BIC4" s="564"/>
      <c r="BID4" s="564"/>
      <c r="BIE4" s="564"/>
      <c r="BIF4" s="564"/>
      <c r="BIG4" s="564"/>
      <c r="BIH4" s="564"/>
      <c r="BII4" s="564"/>
      <c r="BIJ4" s="564"/>
      <c r="BIK4" s="564"/>
      <c r="BIL4" s="564"/>
      <c r="BIM4" s="564"/>
      <c r="BIN4" s="564"/>
      <c r="BIO4" s="564"/>
      <c r="BIP4" s="564"/>
      <c r="BIQ4" s="564"/>
      <c r="BIR4" s="564"/>
      <c r="BIS4" s="564"/>
      <c r="BIT4" s="564"/>
      <c r="BIU4" s="564"/>
      <c r="BIV4" s="564"/>
      <c r="BIW4" s="564"/>
      <c r="BIX4" s="564"/>
      <c r="BIY4" s="564"/>
      <c r="BIZ4" s="564"/>
      <c r="BJA4" s="564"/>
      <c r="BJB4" s="564"/>
      <c r="BJC4" s="564"/>
      <c r="BJD4" s="564"/>
      <c r="BJE4" s="564"/>
      <c r="BJF4" s="564"/>
      <c r="BJG4" s="564"/>
      <c r="BJH4" s="564"/>
      <c r="BJI4" s="564"/>
      <c r="BJJ4" s="564"/>
      <c r="BJK4" s="564"/>
      <c r="BJL4" s="564"/>
      <c r="BJM4" s="564"/>
      <c r="BJN4" s="564"/>
      <c r="BJO4" s="564"/>
      <c r="BJP4" s="564"/>
      <c r="BJQ4" s="564"/>
      <c r="BJR4" s="564"/>
      <c r="BJS4" s="564"/>
      <c r="BJT4" s="564"/>
      <c r="BJU4" s="564"/>
      <c r="BJV4" s="564"/>
      <c r="BJW4" s="564"/>
      <c r="BJX4" s="564"/>
      <c r="BJY4" s="564"/>
      <c r="BJZ4" s="564"/>
      <c r="BKA4" s="564"/>
      <c r="BKB4" s="564"/>
      <c r="BKC4" s="564"/>
      <c r="BKD4" s="564"/>
      <c r="BKE4" s="564"/>
      <c r="BKF4" s="564"/>
      <c r="BKG4" s="564"/>
      <c r="BKH4" s="564"/>
      <c r="BKI4" s="564"/>
      <c r="BKJ4" s="564"/>
      <c r="BKK4" s="564"/>
      <c r="BKL4" s="564"/>
      <c r="BKM4" s="564"/>
      <c r="BKN4" s="564"/>
      <c r="BKO4" s="564"/>
      <c r="BKP4" s="564"/>
      <c r="BKQ4" s="564"/>
      <c r="BKR4" s="564"/>
      <c r="BKS4" s="564"/>
      <c r="BKT4" s="564"/>
      <c r="BKU4" s="564"/>
      <c r="BKV4" s="564"/>
      <c r="BKW4" s="564"/>
      <c r="BKX4" s="564"/>
      <c r="BKY4" s="564"/>
      <c r="BKZ4" s="564"/>
      <c r="BLA4" s="564"/>
      <c r="BLB4" s="564"/>
      <c r="BLC4" s="564"/>
      <c r="BLD4" s="564"/>
      <c r="BLE4" s="564"/>
      <c r="BLF4" s="564"/>
      <c r="BLG4" s="564"/>
      <c r="BLH4" s="564"/>
      <c r="BLI4" s="564"/>
      <c r="BLJ4" s="564"/>
      <c r="BLK4" s="564"/>
      <c r="BLL4" s="564"/>
      <c r="BLM4" s="564"/>
      <c r="BLN4" s="564"/>
      <c r="BLO4" s="564"/>
      <c r="BLP4" s="564"/>
      <c r="BLQ4" s="564"/>
      <c r="BLR4" s="564"/>
      <c r="BLS4" s="564"/>
      <c r="BLT4" s="564"/>
      <c r="BLU4" s="564"/>
      <c r="BLV4" s="564"/>
      <c r="BLW4" s="564"/>
      <c r="BLX4" s="564"/>
      <c r="BLY4" s="564"/>
      <c r="BLZ4" s="564"/>
      <c r="BMA4" s="564"/>
      <c r="BMB4" s="564"/>
      <c r="BMC4" s="564"/>
      <c r="BMD4" s="564"/>
      <c r="BME4" s="564"/>
      <c r="BMF4" s="564"/>
      <c r="BMG4" s="564"/>
      <c r="BMH4" s="564"/>
      <c r="BMI4" s="564"/>
      <c r="BMJ4" s="564"/>
      <c r="BMK4" s="564"/>
      <c r="BML4" s="564"/>
      <c r="BMM4" s="564"/>
      <c r="BMN4" s="564"/>
      <c r="BMO4" s="564"/>
      <c r="BMP4" s="564"/>
      <c r="BMQ4" s="564"/>
      <c r="BMR4" s="564"/>
      <c r="BMS4" s="564"/>
      <c r="BMT4" s="564"/>
      <c r="BMU4" s="564"/>
      <c r="BMV4" s="564"/>
      <c r="BMW4" s="564"/>
      <c r="BMX4" s="564"/>
      <c r="BMY4" s="564"/>
      <c r="BMZ4" s="564"/>
      <c r="BNA4" s="564"/>
      <c r="BNB4" s="564"/>
      <c r="BNC4" s="564"/>
      <c r="BND4" s="564"/>
      <c r="BNE4" s="564"/>
      <c r="BNF4" s="564"/>
      <c r="BNG4" s="564"/>
      <c r="BNH4" s="564"/>
      <c r="BNI4" s="564"/>
      <c r="BNJ4" s="564"/>
      <c r="BNK4" s="564"/>
      <c r="BNL4" s="564"/>
      <c r="BNM4" s="564"/>
      <c r="BNN4" s="564"/>
      <c r="BNO4" s="564"/>
      <c r="BNP4" s="564"/>
      <c r="BNQ4" s="564"/>
      <c r="BNR4" s="564"/>
      <c r="BNS4" s="564"/>
      <c r="BNT4" s="564"/>
      <c r="BNU4" s="564"/>
      <c r="BNV4" s="564"/>
      <c r="BNW4" s="564"/>
      <c r="BNX4" s="564"/>
      <c r="BNY4" s="564"/>
      <c r="BNZ4" s="564"/>
      <c r="BOA4" s="564"/>
      <c r="BOB4" s="564"/>
      <c r="BOC4" s="564"/>
      <c r="BOD4" s="564"/>
      <c r="BOE4" s="564"/>
      <c r="BOF4" s="564"/>
      <c r="BOG4" s="564"/>
      <c r="BOH4" s="564"/>
      <c r="BOI4" s="564"/>
      <c r="BOJ4" s="564"/>
      <c r="BOK4" s="564"/>
      <c r="BOL4" s="564"/>
      <c r="BOM4" s="564"/>
      <c r="BON4" s="564"/>
      <c r="BOO4" s="564"/>
      <c r="BOP4" s="564"/>
      <c r="BOQ4" s="564"/>
      <c r="BOR4" s="564"/>
      <c r="BOS4" s="564"/>
      <c r="BOT4" s="564"/>
      <c r="BOU4" s="564"/>
      <c r="BOV4" s="564"/>
      <c r="BOW4" s="564"/>
      <c r="BOX4" s="564"/>
      <c r="BOY4" s="564"/>
      <c r="BOZ4" s="564"/>
      <c r="BPA4" s="564"/>
      <c r="BPB4" s="564"/>
      <c r="BPC4" s="564"/>
      <c r="BPD4" s="564"/>
      <c r="BPE4" s="564"/>
      <c r="BPF4" s="564"/>
      <c r="BPG4" s="564"/>
      <c r="BPH4" s="564"/>
      <c r="BPI4" s="564"/>
      <c r="BPJ4" s="564"/>
      <c r="BPK4" s="564"/>
      <c r="BPL4" s="564"/>
      <c r="BPM4" s="564"/>
      <c r="BPN4" s="564"/>
      <c r="BPO4" s="564"/>
      <c r="BPP4" s="564"/>
      <c r="BPQ4" s="564"/>
      <c r="BPR4" s="564"/>
      <c r="BPS4" s="564"/>
      <c r="BPT4" s="564"/>
      <c r="BPU4" s="564"/>
      <c r="BPV4" s="564"/>
      <c r="BPW4" s="564"/>
      <c r="BPX4" s="564"/>
      <c r="BPY4" s="564"/>
      <c r="BPZ4" s="564"/>
      <c r="BQA4" s="564"/>
      <c r="BQB4" s="564"/>
      <c r="BQC4" s="564"/>
      <c r="BQD4" s="564"/>
      <c r="BQE4" s="564"/>
      <c r="BQF4" s="564"/>
      <c r="BQG4" s="564"/>
      <c r="BQH4" s="564"/>
      <c r="BQI4" s="564"/>
      <c r="BQJ4" s="564"/>
      <c r="BQK4" s="564"/>
      <c r="BQL4" s="564"/>
      <c r="BQM4" s="564"/>
      <c r="BQN4" s="564"/>
      <c r="BQO4" s="564"/>
      <c r="BQP4" s="564"/>
      <c r="BQQ4" s="564"/>
      <c r="BQR4" s="564"/>
      <c r="BQS4" s="564"/>
      <c r="BQT4" s="564"/>
      <c r="BQU4" s="564"/>
      <c r="BQV4" s="564"/>
      <c r="BQW4" s="564"/>
      <c r="BQX4" s="564"/>
      <c r="BQY4" s="564"/>
      <c r="BQZ4" s="564"/>
      <c r="BRA4" s="564"/>
      <c r="BRB4" s="564"/>
      <c r="BRC4" s="564"/>
      <c r="BRD4" s="564"/>
      <c r="BRE4" s="564"/>
      <c r="BRF4" s="564"/>
      <c r="BRG4" s="564"/>
      <c r="BRH4" s="564"/>
      <c r="BRI4" s="564"/>
      <c r="BRJ4" s="564"/>
      <c r="BRK4" s="564"/>
      <c r="BRL4" s="564"/>
      <c r="BRM4" s="564"/>
      <c r="BRN4" s="564"/>
      <c r="BRO4" s="564"/>
      <c r="BRP4" s="564"/>
      <c r="BRQ4" s="564"/>
      <c r="BRR4" s="564"/>
      <c r="BRS4" s="564"/>
      <c r="BRT4" s="564"/>
      <c r="BRU4" s="564"/>
      <c r="BRV4" s="564"/>
      <c r="BRW4" s="564"/>
      <c r="BRX4" s="564"/>
      <c r="BRY4" s="564"/>
      <c r="BRZ4" s="564"/>
      <c r="BSA4" s="564"/>
      <c r="BSB4" s="564"/>
      <c r="BSC4" s="564"/>
      <c r="BSD4" s="564"/>
      <c r="BSE4" s="564"/>
      <c r="BSF4" s="564"/>
      <c r="BSG4" s="564"/>
      <c r="BSH4" s="564"/>
      <c r="BSI4" s="564"/>
      <c r="BSJ4" s="564"/>
      <c r="BSK4" s="564"/>
      <c r="BSL4" s="564"/>
      <c r="BSM4" s="564"/>
      <c r="BSN4" s="564"/>
      <c r="BSO4" s="564"/>
      <c r="BSP4" s="564"/>
      <c r="BSQ4" s="564"/>
      <c r="BSR4" s="564"/>
      <c r="BSS4" s="564"/>
      <c r="BST4" s="564"/>
      <c r="BSU4" s="564"/>
      <c r="BSV4" s="564"/>
      <c r="BSW4" s="564"/>
      <c r="BSX4" s="564"/>
      <c r="BSY4" s="564"/>
      <c r="BSZ4" s="564"/>
      <c r="BTA4" s="564"/>
      <c r="BTB4" s="564"/>
      <c r="BTC4" s="564"/>
      <c r="BTD4" s="564"/>
      <c r="BTE4" s="564"/>
      <c r="BTF4" s="564"/>
      <c r="BTG4" s="564"/>
      <c r="BTH4" s="564"/>
      <c r="BTI4" s="564"/>
      <c r="BTJ4" s="564"/>
      <c r="BTK4" s="564"/>
      <c r="BTL4" s="564"/>
      <c r="BTM4" s="564"/>
      <c r="BTN4" s="564"/>
      <c r="BTO4" s="564"/>
      <c r="BTP4" s="564"/>
      <c r="BTQ4" s="564"/>
      <c r="BTR4" s="564"/>
      <c r="BTS4" s="564"/>
      <c r="BTT4" s="564"/>
      <c r="BTU4" s="564"/>
      <c r="BTV4" s="564"/>
      <c r="BTW4" s="564"/>
      <c r="BTX4" s="564"/>
      <c r="BTY4" s="564"/>
      <c r="BTZ4" s="564"/>
      <c r="BUA4" s="564"/>
      <c r="BUB4" s="564"/>
      <c r="BUC4" s="564"/>
      <c r="BUD4" s="564"/>
      <c r="BUE4" s="564"/>
      <c r="BUF4" s="564"/>
      <c r="BUG4" s="564"/>
      <c r="BUH4" s="564"/>
      <c r="BUI4" s="564"/>
      <c r="BUJ4" s="564"/>
      <c r="BUK4" s="564"/>
      <c r="BUL4" s="564"/>
      <c r="BUM4" s="564"/>
      <c r="BUN4" s="564"/>
      <c r="BUO4" s="564"/>
      <c r="BUP4" s="564"/>
      <c r="BUQ4" s="564"/>
      <c r="BUR4" s="564"/>
      <c r="BUS4" s="564"/>
      <c r="BUT4" s="564"/>
      <c r="BUU4" s="564"/>
      <c r="BUV4" s="564"/>
      <c r="BUW4" s="564"/>
      <c r="BUX4" s="564"/>
      <c r="BUY4" s="564"/>
      <c r="BUZ4" s="564"/>
      <c r="BVA4" s="564"/>
      <c r="BVB4" s="564"/>
      <c r="BVC4" s="564"/>
      <c r="BVD4" s="564"/>
      <c r="BVE4" s="564"/>
      <c r="BVF4" s="564"/>
      <c r="BVG4" s="564"/>
      <c r="BVH4" s="564"/>
      <c r="BVI4" s="564"/>
      <c r="BVJ4" s="564"/>
      <c r="BVK4" s="564"/>
      <c r="BVL4" s="564"/>
      <c r="BVM4" s="564"/>
      <c r="BVN4" s="564"/>
      <c r="BVO4" s="564"/>
      <c r="BVP4" s="564"/>
      <c r="BVQ4" s="564"/>
      <c r="BVR4" s="564"/>
      <c r="BVS4" s="564"/>
      <c r="BVT4" s="564"/>
      <c r="BVU4" s="564"/>
      <c r="BVV4" s="564"/>
      <c r="BVW4" s="564"/>
      <c r="BVX4" s="564"/>
      <c r="BVY4" s="564"/>
      <c r="BVZ4" s="564"/>
      <c r="BWA4" s="564"/>
      <c r="BWB4" s="564"/>
      <c r="BWC4" s="564"/>
      <c r="BWD4" s="564"/>
      <c r="BWE4" s="564"/>
      <c r="BWF4" s="564"/>
      <c r="BWG4" s="564"/>
      <c r="BWH4" s="564"/>
      <c r="BWI4" s="564"/>
      <c r="BWJ4" s="564"/>
      <c r="BWK4" s="564"/>
      <c r="BWL4" s="564"/>
      <c r="BWM4" s="564"/>
      <c r="BWN4" s="564"/>
      <c r="BWO4" s="564"/>
      <c r="BWP4" s="564"/>
      <c r="BWQ4" s="564"/>
      <c r="BWR4" s="564"/>
      <c r="BWS4" s="564"/>
      <c r="BWT4" s="564"/>
      <c r="BWU4" s="564"/>
      <c r="BWV4" s="564"/>
      <c r="BWW4" s="564"/>
      <c r="BWX4" s="564"/>
      <c r="BWY4" s="564"/>
      <c r="BWZ4" s="564"/>
      <c r="BXA4" s="564"/>
      <c r="BXB4" s="564"/>
      <c r="BXC4" s="564"/>
      <c r="BXD4" s="564"/>
      <c r="BXE4" s="564"/>
      <c r="BXF4" s="564"/>
      <c r="BXG4" s="564"/>
      <c r="BXH4" s="564"/>
      <c r="BXI4" s="564"/>
      <c r="BXJ4" s="564"/>
      <c r="BXK4" s="564"/>
      <c r="BXL4" s="564"/>
      <c r="BXM4" s="564"/>
      <c r="BXN4" s="564"/>
      <c r="BXO4" s="564"/>
      <c r="BXP4" s="564"/>
      <c r="BXQ4" s="564"/>
      <c r="BXR4" s="564"/>
      <c r="BXS4" s="564"/>
      <c r="BXT4" s="564"/>
      <c r="BXU4" s="564"/>
      <c r="BXV4" s="564"/>
      <c r="BXW4" s="564"/>
      <c r="BXX4" s="564"/>
      <c r="BXY4" s="564"/>
      <c r="BXZ4" s="564"/>
      <c r="BYA4" s="564"/>
      <c r="BYB4" s="564"/>
      <c r="BYC4" s="564"/>
      <c r="BYD4" s="564"/>
      <c r="BYE4" s="564"/>
      <c r="BYF4" s="564"/>
      <c r="BYG4" s="564"/>
      <c r="BYH4" s="564"/>
      <c r="BYI4" s="564"/>
      <c r="BYJ4" s="564"/>
      <c r="BYK4" s="564"/>
      <c r="BYL4" s="564"/>
      <c r="BYM4" s="564"/>
      <c r="BYN4" s="564"/>
      <c r="BYO4" s="564"/>
      <c r="BYP4" s="564"/>
      <c r="BYQ4" s="564"/>
      <c r="BYR4" s="564"/>
      <c r="BYS4" s="564"/>
      <c r="BYT4" s="564"/>
      <c r="BYU4" s="564"/>
      <c r="BYV4" s="564"/>
      <c r="BYW4" s="564"/>
      <c r="BYX4" s="564"/>
      <c r="BYY4" s="564"/>
      <c r="BYZ4" s="564"/>
      <c r="BZA4" s="564"/>
      <c r="BZB4" s="564"/>
      <c r="BZC4" s="564"/>
      <c r="BZD4" s="564"/>
      <c r="BZE4" s="564"/>
      <c r="BZF4" s="564"/>
      <c r="BZG4" s="564"/>
      <c r="BZH4" s="564"/>
      <c r="BZI4" s="564"/>
      <c r="BZJ4" s="564"/>
      <c r="BZK4" s="564"/>
      <c r="BZL4" s="564"/>
      <c r="BZM4" s="564"/>
      <c r="BZN4" s="564"/>
      <c r="BZO4" s="564"/>
      <c r="BZP4" s="564"/>
      <c r="BZQ4" s="564"/>
      <c r="BZR4" s="564"/>
      <c r="BZS4" s="564"/>
      <c r="BZT4" s="564"/>
      <c r="BZU4" s="564"/>
      <c r="BZV4" s="564"/>
      <c r="BZW4" s="564"/>
      <c r="BZX4" s="564"/>
      <c r="BZY4" s="564"/>
      <c r="BZZ4" s="564"/>
      <c r="CAA4" s="564"/>
      <c r="CAB4" s="564"/>
      <c r="CAC4" s="564"/>
      <c r="CAD4" s="564"/>
      <c r="CAE4" s="564"/>
      <c r="CAF4" s="564"/>
      <c r="CAG4" s="564"/>
      <c r="CAH4" s="564"/>
      <c r="CAI4" s="564"/>
      <c r="CAJ4" s="564"/>
      <c r="CAK4" s="564"/>
      <c r="CAL4" s="564"/>
      <c r="CAM4" s="564"/>
      <c r="CAN4" s="564"/>
      <c r="CAO4" s="564"/>
      <c r="CAP4" s="564"/>
      <c r="CAQ4" s="564"/>
      <c r="CAR4" s="564"/>
      <c r="CAS4" s="564"/>
      <c r="CAT4" s="564"/>
      <c r="CAU4" s="564"/>
      <c r="CAV4" s="564"/>
      <c r="CAW4" s="564"/>
      <c r="CAX4" s="564"/>
      <c r="CAY4" s="564"/>
      <c r="CAZ4" s="564"/>
      <c r="CBA4" s="564"/>
      <c r="CBB4" s="564"/>
      <c r="CBC4" s="564"/>
      <c r="CBD4" s="564"/>
      <c r="CBE4" s="564"/>
      <c r="CBF4" s="564"/>
      <c r="CBG4" s="564"/>
      <c r="CBH4" s="564"/>
      <c r="CBI4" s="564"/>
      <c r="CBJ4" s="564"/>
      <c r="CBK4" s="564"/>
      <c r="CBL4" s="564"/>
      <c r="CBM4" s="564"/>
      <c r="CBN4" s="564"/>
      <c r="CBO4" s="564"/>
      <c r="CBP4" s="564"/>
      <c r="CBQ4" s="564"/>
      <c r="CBR4" s="564"/>
      <c r="CBS4" s="564"/>
      <c r="CBT4" s="564"/>
      <c r="CBU4" s="564"/>
      <c r="CBV4" s="564"/>
      <c r="CBW4" s="564"/>
      <c r="CBX4" s="564"/>
      <c r="CBY4" s="564"/>
      <c r="CBZ4" s="564"/>
      <c r="CCA4" s="564"/>
      <c r="CCB4" s="564"/>
      <c r="CCC4" s="564"/>
      <c r="CCD4" s="564"/>
      <c r="CCE4" s="564"/>
      <c r="CCF4" s="564"/>
      <c r="CCG4" s="564"/>
      <c r="CCH4" s="564"/>
      <c r="CCI4" s="564"/>
      <c r="CCJ4" s="564"/>
      <c r="CCK4" s="564"/>
      <c r="CCL4" s="564"/>
      <c r="CCM4" s="564"/>
      <c r="CCN4" s="564"/>
      <c r="CCO4" s="564"/>
      <c r="CCP4" s="564"/>
      <c r="CCQ4" s="564"/>
      <c r="CCR4" s="564"/>
      <c r="CCS4" s="564"/>
      <c r="CCT4" s="564"/>
      <c r="CCU4" s="564"/>
      <c r="CCV4" s="564"/>
      <c r="CCW4" s="564"/>
      <c r="CCX4" s="564"/>
      <c r="CCY4" s="564"/>
      <c r="CCZ4" s="564"/>
      <c r="CDA4" s="564"/>
      <c r="CDB4" s="564"/>
      <c r="CDC4" s="564"/>
      <c r="CDD4" s="564"/>
      <c r="CDE4" s="564"/>
      <c r="CDF4" s="564"/>
      <c r="CDG4" s="564"/>
      <c r="CDH4" s="564"/>
      <c r="CDI4" s="564"/>
      <c r="CDJ4" s="564"/>
      <c r="CDK4" s="564"/>
      <c r="CDL4" s="564"/>
      <c r="CDM4" s="564"/>
      <c r="CDN4" s="564"/>
      <c r="CDO4" s="564"/>
      <c r="CDP4" s="564"/>
      <c r="CDQ4" s="564"/>
      <c r="CDR4" s="564"/>
      <c r="CDS4" s="564"/>
      <c r="CDT4" s="564"/>
      <c r="CDU4" s="564"/>
      <c r="CDV4" s="564"/>
      <c r="CDW4" s="564"/>
      <c r="CDX4" s="564"/>
      <c r="CDY4" s="564"/>
      <c r="CDZ4" s="564"/>
      <c r="CEA4" s="564"/>
      <c r="CEB4" s="564"/>
      <c r="CEC4" s="564"/>
      <c r="CED4" s="564"/>
      <c r="CEE4" s="564"/>
      <c r="CEF4" s="564"/>
      <c r="CEG4" s="564"/>
      <c r="CEH4" s="564"/>
      <c r="CEI4" s="564"/>
      <c r="CEJ4" s="564"/>
      <c r="CEK4" s="564"/>
      <c r="CEL4" s="564"/>
      <c r="CEM4" s="564"/>
      <c r="CEN4" s="564"/>
      <c r="CEO4" s="564"/>
      <c r="CEP4" s="564"/>
      <c r="CEQ4" s="564"/>
      <c r="CER4" s="564"/>
      <c r="CES4" s="564"/>
      <c r="CET4" s="564"/>
      <c r="CEU4" s="564"/>
      <c r="CEV4" s="564"/>
      <c r="CEW4" s="564"/>
      <c r="CEX4" s="564"/>
      <c r="CEY4" s="564"/>
      <c r="CEZ4" s="564"/>
      <c r="CFA4" s="564"/>
      <c r="CFB4" s="564"/>
      <c r="CFC4" s="564"/>
      <c r="CFD4" s="564"/>
      <c r="CFE4" s="564"/>
      <c r="CFF4" s="564"/>
      <c r="CFG4" s="564"/>
      <c r="CFH4" s="564"/>
      <c r="CFI4" s="564"/>
      <c r="CFJ4" s="564"/>
      <c r="CFK4" s="564"/>
      <c r="CFL4" s="564"/>
      <c r="CFM4" s="564"/>
      <c r="CFN4" s="564"/>
      <c r="CFO4" s="564"/>
      <c r="CFP4" s="564"/>
      <c r="CFQ4" s="564"/>
      <c r="CFR4" s="564"/>
      <c r="CFS4" s="564"/>
      <c r="CFT4" s="564"/>
      <c r="CFU4" s="564"/>
      <c r="CFV4" s="564"/>
      <c r="CFW4" s="564"/>
      <c r="CFX4" s="564"/>
      <c r="CFY4" s="564"/>
      <c r="CFZ4" s="564"/>
      <c r="CGA4" s="564"/>
      <c r="CGB4" s="564"/>
      <c r="CGC4" s="564"/>
      <c r="CGD4" s="564"/>
      <c r="CGE4" s="564"/>
      <c r="CGF4" s="564"/>
      <c r="CGG4" s="564"/>
      <c r="CGH4" s="564"/>
      <c r="CGI4" s="564"/>
      <c r="CGJ4" s="564"/>
      <c r="CGK4" s="564"/>
      <c r="CGL4" s="564"/>
      <c r="CGM4" s="564"/>
      <c r="CGN4" s="564"/>
      <c r="CGO4" s="564"/>
      <c r="CGP4" s="564"/>
      <c r="CGQ4" s="564"/>
      <c r="CGR4" s="564"/>
      <c r="CGS4" s="564"/>
      <c r="CGT4" s="564"/>
      <c r="CGU4" s="564"/>
      <c r="CGV4" s="564"/>
      <c r="CGW4" s="564"/>
      <c r="CGX4" s="564"/>
      <c r="CGY4" s="564"/>
      <c r="CGZ4" s="564"/>
      <c r="CHA4" s="564"/>
      <c r="CHB4" s="564"/>
      <c r="CHC4" s="564"/>
      <c r="CHD4" s="564"/>
      <c r="CHE4" s="564"/>
      <c r="CHF4" s="564"/>
      <c r="CHG4" s="564"/>
      <c r="CHH4" s="564"/>
      <c r="CHI4" s="564"/>
      <c r="CHJ4" s="564"/>
      <c r="CHK4" s="564"/>
      <c r="CHL4" s="564"/>
      <c r="CHM4" s="564"/>
      <c r="CHN4" s="564"/>
      <c r="CHO4" s="564"/>
      <c r="CHP4" s="564"/>
      <c r="CHQ4" s="564"/>
      <c r="CHR4" s="564"/>
      <c r="CHS4" s="564"/>
      <c r="CHT4" s="564"/>
      <c r="CHU4" s="564"/>
      <c r="CHV4" s="564"/>
      <c r="CHW4" s="564"/>
      <c r="CHX4" s="564"/>
      <c r="CHY4" s="564"/>
      <c r="CHZ4" s="564"/>
      <c r="CIA4" s="564"/>
      <c r="CIB4" s="564"/>
      <c r="CIC4" s="564"/>
      <c r="CID4" s="564"/>
      <c r="CIE4" s="564"/>
      <c r="CIF4" s="564"/>
      <c r="CIG4" s="564"/>
      <c r="CIH4" s="564"/>
      <c r="CII4" s="564"/>
      <c r="CIJ4" s="564"/>
      <c r="CIK4" s="564"/>
      <c r="CIL4" s="564"/>
      <c r="CIM4" s="564"/>
      <c r="CIN4" s="564"/>
      <c r="CIO4" s="564"/>
      <c r="CIP4" s="564"/>
      <c r="CIQ4" s="564"/>
      <c r="CIR4" s="564"/>
      <c r="CIS4" s="564"/>
      <c r="CIT4" s="564"/>
      <c r="CIU4" s="564"/>
      <c r="CIV4" s="564"/>
      <c r="CIW4" s="564"/>
      <c r="CIX4" s="564"/>
      <c r="CIY4" s="564"/>
      <c r="CIZ4" s="564"/>
      <c r="CJA4" s="564"/>
      <c r="CJB4" s="564"/>
      <c r="CJC4" s="564"/>
      <c r="CJD4" s="564"/>
      <c r="CJE4" s="564"/>
      <c r="CJF4" s="564"/>
      <c r="CJG4" s="564"/>
      <c r="CJH4" s="564"/>
      <c r="CJI4" s="564"/>
      <c r="CJJ4" s="564"/>
      <c r="CJK4" s="564"/>
      <c r="CJL4" s="564"/>
      <c r="CJM4" s="564"/>
      <c r="CJN4" s="564"/>
      <c r="CJO4" s="564"/>
      <c r="CJP4" s="564"/>
      <c r="CJQ4" s="564"/>
      <c r="CJR4" s="564"/>
      <c r="CJS4" s="564"/>
      <c r="CJT4" s="564"/>
      <c r="CJU4" s="564"/>
      <c r="CJV4" s="564"/>
      <c r="CJW4" s="564"/>
      <c r="CJX4" s="564"/>
      <c r="CJY4" s="564"/>
      <c r="CJZ4" s="564"/>
      <c r="CKA4" s="564"/>
      <c r="CKB4" s="564"/>
      <c r="CKC4" s="564"/>
      <c r="CKD4" s="564"/>
      <c r="CKE4" s="564"/>
      <c r="CKF4" s="564"/>
      <c r="CKG4" s="564"/>
      <c r="CKH4" s="564"/>
      <c r="CKI4" s="564"/>
      <c r="CKJ4" s="564"/>
      <c r="CKK4" s="564"/>
      <c r="CKL4" s="564"/>
      <c r="CKM4" s="564"/>
      <c r="CKN4" s="564"/>
      <c r="CKO4" s="564"/>
      <c r="CKP4" s="564"/>
      <c r="CKQ4" s="564"/>
      <c r="CKR4" s="564"/>
      <c r="CKS4" s="564"/>
      <c r="CKT4" s="564"/>
      <c r="CKU4" s="564"/>
      <c r="CKV4" s="564"/>
      <c r="CKW4" s="564"/>
      <c r="CKX4" s="564"/>
      <c r="CKY4" s="564"/>
      <c r="CKZ4" s="564"/>
      <c r="CLA4" s="564"/>
      <c r="CLB4" s="564"/>
      <c r="CLC4" s="564"/>
      <c r="CLD4" s="564"/>
      <c r="CLE4" s="564"/>
      <c r="CLF4" s="564"/>
      <c r="CLG4" s="564"/>
      <c r="CLH4" s="564"/>
      <c r="CLI4" s="564"/>
      <c r="CLJ4" s="564"/>
      <c r="CLK4" s="564"/>
      <c r="CLL4" s="564"/>
      <c r="CLM4" s="564"/>
      <c r="CLN4" s="564"/>
      <c r="CLO4" s="564"/>
      <c r="CLP4" s="564"/>
      <c r="CLQ4" s="564"/>
      <c r="CLR4" s="564"/>
      <c r="CLS4" s="564"/>
      <c r="CLT4" s="564"/>
      <c r="CLU4" s="564"/>
      <c r="CLV4" s="564"/>
      <c r="CLW4" s="564"/>
      <c r="CLX4" s="564"/>
      <c r="CLY4" s="564"/>
      <c r="CLZ4" s="564"/>
      <c r="CMA4" s="564"/>
      <c r="CMB4" s="564"/>
      <c r="CMC4" s="564"/>
      <c r="CMD4" s="564"/>
      <c r="CME4" s="564"/>
      <c r="CMF4" s="564"/>
      <c r="CMG4" s="564"/>
      <c r="CMH4" s="564"/>
      <c r="CMI4" s="564"/>
      <c r="CMJ4" s="564"/>
      <c r="CMK4" s="564"/>
      <c r="CML4" s="564"/>
      <c r="CMM4" s="564"/>
      <c r="CMN4" s="564"/>
      <c r="CMO4" s="564"/>
      <c r="CMP4" s="564"/>
      <c r="CMQ4" s="564"/>
      <c r="CMR4" s="564"/>
      <c r="CMS4" s="564"/>
      <c r="CMT4" s="564"/>
      <c r="CMU4" s="564"/>
      <c r="CMV4" s="564"/>
      <c r="CMW4" s="564"/>
      <c r="CMX4" s="564"/>
      <c r="CMY4" s="564"/>
      <c r="CMZ4" s="564"/>
      <c r="CNA4" s="564"/>
      <c r="CNB4" s="564"/>
      <c r="CNC4" s="564"/>
      <c r="CND4" s="564"/>
      <c r="CNE4" s="564"/>
      <c r="CNF4" s="564"/>
      <c r="CNG4" s="564"/>
      <c r="CNH4" s="564"/>
      <c r="CNI4" s="564"/>
      <c r="CNJ4" s="564"/>
      <c r="CNK4" s="564"/>
      <c r="CNL4" s="564"/>
      <c r="CNM4" s="564"/>
      <c r="CNN4" s="564"/>
      <c r="CNO4" s="564"/>
      <c r="CNP4" s="564"/>
      <c r="CNQ4" s="564"/>
      <c r="CNR4" s="564"/>
      <c r="CNS4" s="564"/>
      <c r="CNT4" s="564"/>
      <c r="CNU4" s="564"/>
      <c r="CNV4" s="564"/>
      <c r="CNW4" s="564"/>
      <c r="CNX4" s="564"/>
      <c r="CNY4" s="564"/>
      <c r="CNZ4" s="564"/>
      <c r="COA4" s="564"/>
      <c r="COB4" s="564"/>
      <c r="COC4" s="564"/>
      <c r="COD4" s="564"/>
      <c r="COE4" s="564"/>
      <c r="COF4" s="564"/>
      <c r="COG4" s="564"/>
      <c r="COH4" s="564"/>
      <c r="COI4" s="564"/>
      <c r="COJ4" s="564"/>
      <c r="COK4" s="564"/>
      <c r="COL4" s="564"/>
      <c r="COM4" s="564"/>
      <c r="CON4" s="564"/>
      <c r="COO4" s="564"/>
      <c r="COP4" s="564"/>
      <c r="COQ4" s="564"/>
      <c r="COR4" s="564"/>
      <c r="COS4" s="564"/>
      <c r="COT4" s="564"/>
      <c r="COU4" s="564"/>
      <c r="COV4" s="564"/>
      <c r="COW4" s="564"/>
      <c r="COX4" s="564"/>
      <c r="COY4" s="564"/>
      <c r="COZ4" s="564"/>
      <c r="CPA4" s="564"/>
      <c r="CPB4" s="564"/>
      <c r="CPC4" s="564"/>
      <c r="CPD4" s="564"/>
      <c r="CPE4" s="564"/>
      <c r="CPF4" s="564"/>
      <c r="CPG4" s="564"/>
      <c r="CPH4" s="564"/>
      <c r="CPI4" s="564"/>
      <c r="CPJ4" s="564"/>
      <c r="CPK4" s="564"/>
      <c r="CPL4" s="564"/>
      <c r="CPM4" s="564"/>
      <c r="CPN4" s="564"/>
      <c r="CPO4" s="564"/>
      <c r="CPP4" s="564"/>
      <c r="CPQ4" s="564"/>
      <c r="CPR4" s="564"/>
      <c r="CPS4" s="564"/>
      <c r="CPT4" s="564"/>
      <c r="CPU4" s="564"/>
      <c r="CPV4" s="564"/>
      <c r="CPW4" s="564"/>
      <c r="CPX4" s="564"/>
      <c r="CPY4" s="564"/>
      <c r="CPZ4" s="564"/>
      <c r="CQA4" s="564"/>
      <c r="CQB4" s="564"/>
      <c r="CQC4" s="564"/>
      <c r="CQD4" s="564"/>
      <c r="CQE4" s="564"/>
      <c r="CQF4" s="564"/>
      <c r="CQG4" s="564"/>
      <c r="CQH4" s="564"/>
      <c r="CQI4" s="564"/>
      <c r="CQJ4" s="564"/>
      <c r="CQK4" s="564"/>
      <c r="CQL4" s="564"/>
      <c r="CQM4" s="564"/>
      <c r="CQN4" s="564"/>
      <c r="CQO4" s="564"/>
      <c r="CQP4" s="564"/>
      <c r="CQQ4" s="564"/>
      <c r="CQR4" s="564"/>
      <c r="CQS4" s="564"/>
      <c r="CQT4" s="564"/>
      <c r="CQU4" s="564"/>
      <c r="CQV4" s="564"/>
      <c r="CQW4" s="564"/>
      <c r="CQX4" s="564"/>
      <c r="CQY4" s="564"/>
      <c r="CQZ4" s="564"/>
      <c r="CRA4" s="564"/>
      <c r="CRB4" s="564"/>
      <c r="CRC4" s="564"/>
      <c r="CRD4" s="564"/>
      <c r="CRE4" s="564"/>
      <c r="CRF4" s="564"/>
      <c r="CRG4" s="564"/>
      <c r="CRH4" s="564"/>
      <c r="CRI4" s="564"/>
      <c r="CRJ4" s="564"/>
      <c r="CRK4" s="564"/>
      <c r="CRL4" s="564"/>
      <c r="CRM4" s="564"/>
      <c r="CRN4" s="564"/>
      <c r="CRO4" s="564"/>
      <c r="CRP4" s="564"/>
      <c r="CRQ4" s="564"/>
      <c r="CRR4" s="564"/>
      <c r="CRS4" s="564"/>
      <c r="CRT4" s="564"/>
      <c r="CRU4" s="564"/>
      <c r="CRV4" s="564"/>
      <c r="CRW4" s="564"/>
      <c r="CRX4" s="564"/>
      <c r="CRY4" s="564"/>
      <c r="CRZ4" s="564"/>
      <c r="CSA4" s="564"/>
      <c r="CSB4" s="564"/>
      <c r="CSC4" s="564"/>
      <c r="CSD4" s="564"/>
      <c r="CSE4" s="564"/>
      <c r="CSF4" s="564"/>
      <c r="CSG4" s="564"/>
      <c r="CSH4" s="564"/>
      <c r="CSI4" s="564"/>
      <c r="CSJ4" s="564"/>
      <c r="CSK4" s="564"/>
      <c r="CSL4" s="564"/>
      <c r="CSM4" s="564"/>
      <c r="CSN4" s="564"/>
      <c r="CSO4" s="564"/>
      <c r="CSP4" s="564"/>
      <c r="CSQ4" s="564"/>
      <c r="CSR4" s="564"/>
      <c r="CSS4" s="564"/>
      <c r="CST4" s="564"/>
      <c r="CSU4" s="564"/>
      <c r="CSV4" s="564"/>
      <c r="CSW4" s="564"/>
      <c r="CSX4" s="564"/>
      <c r="CSY4" s="564"/>
      <c r="CSZ4" s="564"/>
      <c r="CTA4" s="564"/>
      <c r="CTB4" s="564"/>
      <c r="CTC4" s="564"/>
      <c r="CTD4" s="564"/>
      <c r="CTE4" s="564"/>
      <c r="CTF4" s="564"/>
      <c r="CTG4" s="564"/>
      <c r="CTH4" s="564"/>
      <c r="CTI4" s="564"/>
      <c r="CTJ4" s="564"/>
      <c r="CTK4" s="564"/>
      <c r="CTL4" s="564"/>
      <c r="CTM4" s="564"/>
      <c r="CTN4" s="564"/>
      <c r="CTO4" s="564"/>
      <c r="CTP4" s="564"/>
      <c r="CTQ4" s="564"/>
      <c r="CTR4" s="564"/>
      <c r="CTS4" s="564"/>
      <c r="CTT4" s="564"/>
      <c r="CTU4" s="564"/>
      <c r="CTV4" s="564"/>
      <c r="CTW4" s="564"/>
      <c r="CTX4" s="564"/>
      <c r="CTY4" s="564"/>
      <c r="CTZ4" s="564"/>
      <c r="CUA4" s="564"/>
      <c r="CUB4" s="564"/>
      <c r="CUC4" s="564"/>
      <c r="CUD4" s="564"/>
      <c r="CUE4" s="564"/>
      <c r="CUF4" s="564"/>
      <c r="CUG4" s="564"/>
      <c r="CUH4" s="564"/>
      <c r="CUI4" s="564"/>
      <c r="CUJ4" s="564"/>
      <c r="CUK4" s="564"/>
      <c r="CUL4" s="564"/>
      <c r="CUM4" s="564"/>
      <c r="CUN4" s="564"/>
      <c r="CUO4" s="564"/>
      <c r="CUP4" s="564"/>
      <c r="CUQ4" s="564"/>
      <c r="CUR4" s="564"/>
      <c r="CUS4" s="564"/>
      <c r="CUT4" s="564"/>
      <c r="CUU4" s="564"/>
      <c r="CUV4" s="564"/>
      <c r="CUW4" s="564"/>
      <c r="CUX4" s="564"/>
      <c r="CUY4" s="564"/>
      <c r="CUZ4" s="564"/>
      <c r="CVA4" s="564"/>
      <c r="CVB4" s="564"/>
      <c r="CVC4" s="564"/>
      <c r="CVD4" s="564"/>
      <c r="CVE4" s="564"/>
      <c r="CVF4" s="564"/>
      <c r="CVG4" s="564"/>
      <c r="CVH4" s="564"/>
      <c r="CVI4" s="564"/>
      <c r="CVJ4" s="564"/>
      <c r="CVK4" s="564"/>
      <c r="CVL4" s="564"/>
      <c r="CVM4" s="564"/>
      <c r="CVN4" s="564"/>
      <c r="CVO4" s="564"/>
      <c r="CVP4" s="564"/>
      <c r="CVQ4" s="564"/>
      <c r="CVR4" s="564"/>
      <c r="CVS4" s="564"/>
      <c r="CVT4" s="564"/>
      <c r="CVU4" s="564"/>
      <c r="CVV4" s="564"/>
      <c r="CVW4" s="564"/>
      <c r="CVX4" s="564"/>
      <c r="CVY4" s="564"/>
      <c r="CVZ4" s="564"/>
      <c r="CWA4" s="564"/>
      <c r="CWB4" s="564"/>
      <c r="CWC4" s="564"/>
      <c r="CWD4" s="564"/>
      <c r="CWE4" s="564"/>
      <c r="CWF4" s="564"/>
      <c r="CWG4" s="564"/>
      <c r="CWH4" s="564"/>
      <c r="CWI4" s="564"/>
      <c r="CWJ4" s="564"/>
      <c r="CWK4" s="564"/>
      <c r="CWL4" s="564"/>
      <c r="CWM4" s="564"/>
      <c r="CWN4" s="564"/>
      <c r="CWO4" s="564"/>
      <c r="CWP4" s="564"/>
      <c r="CWQ4" s="564"/>
      <c r="CWR4" s="564"/>
      <c r="CWS4" s="564"/>
      <c r="CWT4" s="564"/>
      <c r="CWU4" s="564"/>
      <c r="CWV4" s="564"/>
      <c r="CWW4" s="564"/>
      <c r="CWX4" s="564"/>
      <c r="CWY4" s="564"/>
      <c r="CWZ4" s="564"/>
      <c r="CXA4" s="564"/>
      <c r="CXB4" s="564"/>
      <c r="CXC4" s="564"/>
      <c r="CXD4" s="564"/>
      <c r="CXE4" s="564"/>
      <c r="CXF4" s="564"/>
      <c r="CXG4" s="564"/>
      <c r="CXH4" s="564"/>
      <c r="CXI4" s="564"/>
      <c r="CXJ4" s="564"/>
      <c r="CXK4" s="564"/>
      <c r="CXL4" s="564"/>
      <c r="CXM4" s="564"/>
      <c r="CXN4" s="564"/>
      <c r="CXO4" s="564"/>
      <c r="CXP4" s="564"/>
      <c r="CXQ4" s="564"/>
      <c r="CXR4" s="564"/>
      <c r="CXS4" s="564"/>
      <c r="CXT4" s="564"/>
      <c r="CXU4" s="564"/>
      <c r="CXV4" s="564"/>
      <c r="CXW4" s="564"/>
      <c r="CXX4" s="564"/>
      <c r="CXY4" s="564"/>
      <c r="CXZ4" s="564"/>
      <c r="CYA4" s="564"/>
      <c r="CYB4" s="564"/>
      <c r="CYC4" s="564"/>
      <c r="CYD4" s="564"/>
      <c r="CYE4" s="564"/>
      <c r="CYF4" s="564"/>
      <c r="CYG4" s="564"/>
      <c r="CYH4" s="564"/>
      <c r="CYI4" s="564"/>
      <c r="CYJ4" s="564"/>
      <c r="CYK4" s="564"/>
      <c r="CYL4" s="564"/>
      <c r="CYM4" s="564"/>
      <c r="CYN4" s="564"/>
      <c r="CYO4" s="564"/>
      <c r="CYP4" s="564"/>
      <c r="CYQ4" s="564"/>
      <c r="CYR4" s="564"/>
      <c r="CYS4" s="564"/>
      <c r="CYT4" s="564"/>
      <c r="CYU4" s="564"/>
      <c r="CYV4" s="564"/>
      <c r="CYW4" s="564"/>
      <c r="CYX4" s="564"/>
      <c r="CYY4" s="564"/>
      <c r="CYZ4" s="564"/>
      <c r="CZA4" s="564"/>
      <c r="CZB4" s="564"/>
      <c r="CZC4" s="564"/>
      <c r="CZD4" s="564"/>
      <c r="CZE4" s="564"/>
      <c r="CZF4" s="564"/>
      <c r="CZG4" s="564"/>
      <c r="CZH4" s="564"/>
      <c r="CZI4" s="564"/>
      <c r="CZJ4" s="564"/>
      <c r="CZK4" s="564"/>
      <c r="CZL4" s="564"/>
      <c r="CZM4" s="564"/>
      <c r="CZN4" s="564"/>
      <c r="CZO4" s="564"/>
      <c r="CZP4" s="564"/>
      <c r="CZQ4" s="564"/>
      <c r="CZR4" s="564"/>
      <c r="CZS4" s="564"/>
      <c r="CZT4" s="564"/>
      <c r="CZU4" s="564"/>
      <c r="CZV4" s="564"/>
      <c r="CZW4" s="564"/>
      <c r="CZX4" s="564"/>
      <c r="CZY4" s="564"/>
      <c r="CZZ4" s="564"/>
      <c r="DAA4" s="564"/>
      <c r="DAB4" s="564"/>
      <c r="DAC4" s="564"/>
      <c r="DAD4" s="564"/>
      <c r="DAE4" s="564"/>
      <c r="DAF4" s="564"/>
      <c r="DAG4" s="564"/>
      <c r="DAH4" s="564"/>
      <c r="DAI4" s="564"/>
      <c r="DAJ4" s="564"/>
      <c r="DAK4" s="564"/>
      <c r="DAL4" s="564"/>
      <c r="DAM4" s="564"/>
      <c r="DAN4" s="564"/>
      <c r="DAO4" s="564"/>
      <c r="DAP4" s="564"/>
      <c r="DAQ4" s="564"/>
      <c r="DAR4" s="564"/>
      <c r="DAS4" s="564"/>
      <c r="DAT4" s="564"/>
      <c r="DAU4" s="564"/>
      <c r="DAV4" s="564"/>
      <c r="DAW4" s="564"/>
      <c r="DAX4" s="564"/>
      <c r="DAY4" s="564"/>
      <c r="DAZ4" s="564"/>
      <c r="DBA4" s="564"/>
      <c r="DBB4" s="564"/>
      <c r="DBC4" s="564"/>
      <c r="DBD4" s="564"/>
      <c r="DBE4" s="564"/>
      <c r="DBF4" s="564"/>
      <c r="DBG4" s="564"/>
      <c r="DBH4" s="564"/>
      <c r="DBI4" s="564"/>
      <c r="DBJ4" s="564"/>
      <c r="DBK4" s="564"/>
      <c r="DBL4" s="564"/>
      <c r="DBM4" s="564"/>
      <c r="DBN4" s="564"/>
      <c r="DBO4" s="564"/>
      <c r="DBP4" s="564"/>
      <c r="DBQ4" s="564"/>
      <c r="DBR4" s="564"/>
      <c r="DBS4" s="564"/>
      <c r="DBT4" s="564"/>
      <c r="DBU4" s="564"/>
      <c r="DBV4" s="564"/>
      <c r="DBW4" s="564"/>
      <c r="DBX4" s="564"/>
      <c r="DBY4" s="564"/>
      <c r="DBZ4" s="564"/>
      <c r="DCA4" s="564"/>
      <c r="DCB4" s="564"/>
      <c r="DCC4" s="564"/>
      <c r="DCD4" s="564"/>
      <c r="DCE4" s="564"/>
      <c r="DCF4" s="564"/>
      <c r="DCG4" s="564"/>
      <c r="DCH4" s="564"/>
      <c r="DCI4" s="564"/>
      <c r="DCJ4" s="564"/>
      <c r="DCK4" s="564"/>
      <c r="DCL4" s="564"/>
      <c r="DCM4" s="564"/>
      <c r="DCN4" s="564"/>
      <c r="DCO4" s="564"/>
      <c r="DCP4" s="564"/>
      <c r="DCQ4" s="564"/>
      <c r="DCR4" s="564"/>
      <c r="DCS4" s="564"/>
      <c r="DCT4" s="564"/>
      <c r="DCU4" s="564"/>
      <c r="DCV4" s="564"/>
      <c r="DCW4" s="564"/>
      <c r="DCX4" s="564"/>
      <c r="DCY4" s="564"/>
      <c r="DCZ4" s="564"/>
      <c r="DDA4" s="564"/>
      <c r="DDB4" s="564"/>
      <c r="DDC4" s="564"/>
      <c r="DDD4" s="564"/>
      <c r="DDE4" s="564"/>
      <c r="DDF4" s="564"/>
      <c r="DDG4" s="564"/>
      <c r="DDH4" s="564"/>
      <c r="DDI4" s="564"/>
      <c r="DDJ4" s="564"/>
      <c r="DDK4" s="564"/>
      <c r="DDL4" s="564"/>
      <c r="DDM4" s="564"/>
      <c r="DDN4" s="564"/>
      <c r="DDO4" s="564"/>
      <c r="DDP4" s="564"/>
      <c r="DDQ4" s="564"/>
      <c r="DDR4" s="564"/>
      <c r="DDS4" s="564"/>
      <c r="DDT4" s="564"/>
      <c r="DDU4" s="564"/>
      <c r="DDV4" s="564"/>
      <c r="DDW4" s="564"/>
      <c r="DDX4" s="564"/>
      <c r="DDY4" s="564"/>
      <c r="DDZ4" s="564"/>
      <c r="DEA4" s="564"/>
      <c r="DEB4" s="564"/>
      <c r="DEC4" s="564"/>
      <c r="DED4" s="564"/>
      <c r="DEE4" s="564"/>
      <c r="DEF4" s="564"/>
      <c r="DEG4" s="564"/>
      <c r="DEH4" s="564"/>
      <c r="DEI4" s="564"/>
      <c r="DEJ4" s="564"/>
      <c r="DEK4" s="564"/>
      <c r="DEL4" s="564"/>
      <c r="DEM4" s="564"/>
      <c r="DEN4" s="564"/>
      <c r="DEO4" s="564"/>
      <c r="DEP4" s="564"/>
      <c r="DEQ4" s="564"/>
      <c r="DER4" s="564"/>
      <c r="DES4" s="564"/>
      <c r="DET4" s="564"/>
      <c r="DEU4" s="564"/>
      <c r="DEV4" s="564"/>
      <c r="DEW4" s="564"/>
      <c r="DEX4" s="564"/>
      <c r="DEY4" s="564"/>
      <c r="DEZ4" s="564"/>
      <c r="DFA4" s="564"/>
      <c r="DFB4" s="564"/>
      <c r="DFC4" s="564"/>
      <c r="DFD4" s="564"/>
      <c r="DFE4" s="564"/>
      <c r="DFF4" s="564"/>
      <c r="DFG4" s="564"/>
      <c r="DFH4" s="564"/>
      <c r="DFI4" s="564"/>
      <c r="DFJ4" s="564"/>
      <c r="DFK4" s="564"/>
      <c r="DFL4" s="564"/>
      <c r="DFM4" s="564"/>
      <c r="DFN4" s="564"/>
      <c r="DFO4" s="564"/>
      <c r="DFP4" s="564"/>
      <c r="DFQ4" s="564"/>
      <c r="DFR4" s="564"/>
      <c r="DFS4" s="564"/>
      <c r="DFT4" s="564"/>
      <c r="DFU4" s="564"/>
      <c r="DFV4" s="564"/>
      <c r="DFW4" s="564"/>
      <c r="DFX4" s="564"/>
      <c r="DFY4" s="564"/>
      <c r="DFZ4" s="564"/>
      <c r="DGA4" s="564"/>
      <c r="DGB4" s="564"/>
      <c r="DGC4" s="564"/>
      <c r="DGD4" s="564"/>
      <c r="DGE4" s="564"/>
      <c r="DGF4" s="564"/>
      <c r="DGG4" s="564"/>
      <c r="DGH4" s="564"/>
      <c r="DGI4" s="564"/>
      <c r="DGJ4" s="564"/>
      <c r="DGK4" s="564"/>
      <c r="DGL4" s="564"/>
      <c r="DGM4" s="564"/>
      <c r="DGN4" s="564"/>
      <c r="DGO4" s="564"/>
      <c r="DGP4" s="564"/>
      <c r="DGQ4" s="564"/>
      <c r="DGR4" s="564"/>
      <c r="DGS4" s="564"/>
      <c r="DGT4" s="564"/>
      <c r="DGU4" s="564"/>
      <c r="DGV4" s="564"/>
      <c r="DGW4" s="564"/>
      <c r="DGX4" s="564"/>
      <c r="DGY4" s="564"/>
      <c r="DGZ4" s="564"/>
      <c r="DHA4" s="564"/>
      <c r="DHB4" s="564"/>
      <c r="DHC4" s="564"/>
      <c r="DHD4" s="564"/>
      <c r="DHE4" s="564"/>
      <c r="DHF4" s="564"/>
      <c r="DHG4" s="564"/>
      <c r="DHH4" s="564"/>
      <c r="DHI4" s="564"/>
      <c r="DHJ4" s="564"/>
      <c r="DHK4" s="564"/>
      <c r="DHL4" s="564"/>
      <c r="DHM4" s="564"/>
      <c r="DHN4" s="564"/>
      <c r="DHO4" s="564"/>
      <c r="DHP4" s="564"/>
      <c r="DHQ4" s="564"/>
      <c r="DHR4" s="564"/>
      <c r="DHS4" s="564"/>
      <c r="DHT4" s="564"/>
      <c r="DHU4" s="564"/>
      <c r="DHV4" s="564"/>
      <c r="DHW4" s="564"/>
      <c r="DHX4" s="564"/>
      <c r="DHY4" s="564"/>
      <c r="DHZ4" s="564"/>
      <c r="DIA4" s="564"/>
      <c r="DIB4" s="564"/>
      <c r="DIC4" s="564"/>
      <c r="DID4" s="564"/>
      <c r="DIE4" s="564"/>
      <c r="DIF4" s="564"/>
      <c r="DIG4" s="564"/>
      <c r="DIH4" s="564"/>
      <c r="DII4" s="564"/>
      <c r="DIJ4" s="564"/>
      <c r="DIK4" s="564"/>
      <c r="DIL4" s="564"/>
      <c r="DIM4" s="564"/>
      <c r="DIN4" s="564"/>
      <c r="DIO4" s="564"/>
      <c r="DIP4" s="564"/>
      <c r="DIQ4" s="564"/>
      <c r="DIR4" s="564"/>
      <c r="DIS4" s="564"/>
      <c r="DIT4" s="564"/>
      <c r="DIU4" s="564"/>
      <c r="DIV4" s="564"/>
      <c r="DIW4" s="564"/>
      <c r="DIX4" s="564"/>
      <c r="DIY4" s="564"/>
      <c r="DIZ4" s="564"/>
      <c r="DJA4" s="564"/>
      <c r="DJB4" s="564"/>
      <c r="DJC4" s="564"/>
      <c r="DJD4" s="564"/>
      <c r="DJE4" s="564"/>
      <c r="DJF4" s="564"/>
      <c r="DJG4" s="564"/>
      <c r="DJH4" s="564"/>
      <c r="DJI4" s="564"/>
      <c r="DJJ4" s="564"/>
      <c r="DJK4" s="564"/>
      <c r="DJL4" s="564"/>
      <c r="DJM4" s="564"/>
      <c r="DJN4" s="564"/>
      <c r="DJO4" s="564"/>
      <c r="DJP4" s="564"/>
      <c r="DJQ4" s="564"/>
      <c r="DJR4" s="564"/>
      <c r="DJS4" s="564"/>
      <c r="DJT4" s="564"/>
      <c r="DJU4" s="564"/>
      <c r="DJV4" s="564"/>
      <c r="DJW4" s="564"/>
      <c r="DJX4" s="564"/>
      <c r="DJY4" s="564"/>
      <c r="DJZ4" s="564"/>
      <c r="DKA4" s="564"/>
      <c r="DKB4" s="564"/>
      <c r="DKC4" s="564"/>
      <c r="DKD4" s="564"/>
      <c r="DKE4" s="564"/>
      <c r="DKF4" s="564"/>
      <c r="DKG4" s="564"/>
      <c r="DKH4" s="564"/>
      <c r="DKI4" s="564"/>
      <c r="DKJ4" s="564"/>
      <c r="DKK4" s="564"/>
      <c r="DKL4" s="564"/>
      <c r="DKM4" s="564"/>
      <c r="DKN4" s="564"/>
      <c r="DKO4" s="564"/>
      <c r="DKP4" s="564"/>
      <c r="DKQ4" s="564"/>
      <c r="DKR4" s="564"/>
      <c r="DKS4" s="564"/>
      <c r="DKT4" s="564"/>
      <c r="DKU4" s="564"/>
      <c r="DKV4" s="564"/>
      <c r="DKW4" s="564"/>
      <c r="DKX4" s="564"/>
      <c r="DKY4" s="564"/>
      <c r="DKZ4" s="564"/>
      <c r="DLA4" s="564"/>
      <c r="DLB4" s="564"/>
      <c r="DLC4" s="564"/>
      <c r="DLD4" s="564"/>
      <c r="DLE4" s="564"/>
      <c r="DLF4" s="564"/>
      <c r="DLG4" s="564"/>
      <c r="DLH4" s="564"/>
      <c r="DLI4" s="564"/>
      <c r="DLJ4" s="564"/>
      <c r="DLK4" s="564"/>
      <c r="DLL4" s="564"/>
      <c r="DLM4" s="564"/>
      <c r="DLN4" s="564"/>
      <c r="DLO4" s="564"/>
      <c r="DLP4" s="564"/>
      <c r="DLQ4" s="564"/>
      <c r="DLR4" s="564"/>
      <c r="DLS4" s="564"/>
      <c r="DLT4" s="564"/>
      <c r="DLU4" s="564"/>
      <c r="DLV4" s="564"/>
      <c r="DLW4" s="564"/>
      <c r="DLX4" s="564"/>
      <c r="DLY4" s="564"/>
      <c r="DLZ4" s="564"/>
      <c r="DMA4" s="564"/>
      <c r="DMB4" s="564"/>
      <c r="DMC4" s="564"/>
      <c r="DMD4" s="564"/>
      <c r="DME4" s="564"/>
      <c r="DMF4" s="564"/>
      <c r="DMG4" s="564"/>
      <c r="DMH4" s="564"/>
      <c r="DMI4" s="564"/>
      <c r="DMJ4" s="564"/>
      <c r="DMK4" s="564"/>
      <c r="DML4" s="564"/>
      <c r="DMM4" s="564"/>
      <c r="DMN4" s="564"/>
      <c r="DMO4" s="564"/>
      <c r="DMP4" s="564"/>
      <c r="DMQ4" s="564"/>
      <c r="DMR4" s="564"/>
      <c r="DMS4" s="564"/>
      <c r="DMT4" s="564"/>
      <c r="DMU4" s="564"/>
      <c r="DMV4" s="564"/>
      <c r="DMW4" s="564"/>
      <c r="DMX4" s="564"/>
      <c r="DMY4" s="564"/>
      <c r="DMZ4" s="564"/>
      <c r="DNA4" s="564"/>
      <c r="DNB4" s="564"/>
      <c r="DNC4" s="564"/>
      <c r="DND4" s="564"/>
      <c r="DNE4" s="564"/>
      <c r="DNF4" s="564"/>
      <c r="DNG4" s="564"/>
      <c r="DNH4" s="564"/>
      <c r="DNI4" s="564"/>
      <c r="DNJ4" s="564"/>
      <c r="DNK4" s="564"/>
      <c r="DNL4" s="564"/>
      <c r="DNM4" s="564"/>
      <c r="DNN4" s="564"/>
      <c r="DNO4" s="564"/>
      <c r="DNP4" s="564"/>
      <c r="DNQ4" s="564"/>
      <c r="DNR4" s="564"/>
      <c r="DNS4" s="564"/>
      <c r="DNT4" s="564"/>
      <c r="DNU4" s="564"/>
      <c r="DNV4" s="564"/>
      <c r="DNW4" s="564"/>
      <c r="DNX4" s="564"/>
      <c r="DNY4" s="564"/>
      <c r="DNZ4" s="564"/>
      <c r="DOA4" s="564"/>
      <c r="DOB4" s="564"/>
      <c r="DOC4" s="564"/>
      <c r="DOD4" s="564"/>
      <c r="DOE4" s="564"/>
      <c r="DOF4" s="564"/>
      <c r="DOG4" s="564"/>
      <c r="DOH4" s="564"/>
      <c r="DOI4" s="564"/>
      <c r="DOJ4" s="564"/>
      <c r="DOK4" s="564"/>
      <c r="DOL4" s="564"/>
      <c r="DOM4" s="564"/>
      <c r="DON4" s="564"/>
      <c r="DOO4" s="564"/>
      <c r="DOP4" s="564"/>
      <c r="DOQ4" s="564"/>
      <c r="DOR4" s="564"/>
      <c r="DOS4" s="564"/>
      <c r="DOT4" s="564"/>
      <c r="DOU4" s="564"/>
      <c r="DOV4" s="564"/>
      <c r="DOW4" s="564"/>
      <c r="DOX4" s="564"/>
      <c r="DOY4" s="564"/>
      <c r="DOZ4" s="564"/>
      <c r="DPA4" s="564"/>
      <c r="DPB4" s="564"/>
      <c r="DPC4" s="564"/>
      <c r="DPD4" s="564"/>
      <c r="DPE4" s="564"/>
      <c r="DPF4" s="564"/>
      <c r="DPG4" s="564"/>
      <c r="DPH4" s="564"/>
      <c r="DPI4" s="564"/>
      <c r="DPJ4" s="564"/>
      <c r="DPK4" s="564"/>
      <c r="DPL4" s="564"/>
      <c r="DPM4" s="564"/>
      <c r="DPN4" s="564"/>
      <c r="DPO4" s="564"/>
      <c r="DPP4" s="564"/>
      <c r="DPQ4" s="564"/>
      <c r="DPR4" s="564"/>
      <c r="DPS4" s="564"/>
      <c r="DPT4" s="564"/>
      <c r="DPU4" s="564"/>
      <c r="DPV4" s="564"/>
      <c r="DPW4" s="564"/>
      <c r="DPX4" s="564"/>
      <c r="DPY4" s="564"/>
      <c r="DPZ4" s="564"/>
      <c r="DQA4" s="564"/>
      <c r="DQB4" s="564"/>
      <c r="DQC4" s="564"/>
      <c r="DQD4" s="564"/>
      <c r="DQE4" s="564"/>
      <c r="DQF4" s="564"/>
      <c r="DQG4" s="564"/>
      <c r="DQH4" s="564"/>
      <c r="DQI4" s="564"/>
      <c r="DQJ4" s="564"/>
      <c r="DQK4" s="564"/>
      <c r="DQL4" s="564"/>
      <c r="DQM4" s="564"/>
      <c r="DQN4" s="564"/>
      <c r="DQO4" s="564"/>
      <c r="DQP4" s="564"/>
      <c r="DQQ4" s="564"/>
      <c r="DQR4" s="564"/>
      <c r="DQS4" s="564"/>
      <c r="DQT4" s="564"/>
      <c r="DQU4" s="564"/>
      <c r="DQV4" s="564"/>
      <c r="DQW4" s="564"/>
      <c r="DQX4" s="564"/>
      <c r="DQY4" s="564"/>
      <c r="DQZ4" s="564"/>
      <c r="DRA4" s="564"/>
      <c r="DRB4" s="564"/>
      <c r="DRC4" s="564"/>
      <c r="DRD4" s="564"/>
      <c r="DRE4" s="564"/>
      <c r="DRF4" s="564"/>
      <c r="DRG4" s="564"/>
      <c r="DRH4" s="564"/>
      <c r="DRI4" s="564"/>
      <c r="DRJ4" s="564"/>
      <c r="DRK4" s="564"/>
      <c r="DRL4" s="564"/>
      <c r="DRM4" s="564"/>
      <c r="DRN4" s="564"/>
      <c r="DRO4" s="564"/>
      <c r="DRP4" s="564"/>
      <c r="DRQ4" s="564"/>
      <c r="DRR4" s="564"/>
      <c r="DRS4" s="564"/>
      <c r="DRT4" s="564"/>
      <c r="DRU4" s="564"/>
      <c r="DRV4" s="564"/>
      <c r="DRW4" s="564"/>
      <c r="DRX4" s="564"/>
      <c r="DRY4" s="564"/>
      <c r="DRZ4" s="564"/>
      <c r="DSA4" s="564"/>
      <c r="DSB4" s="564"/>
      <c r="DSC4" s="564"/>
      <c r="DSD4" s="564"/>
      <c r="DSE4" s="564"/>
      <c r="DSF4" s="564"/>
      <c r="DSG4" s="564"/>
      <c r="DSH4" s="564"/>
      <c r="DSI4" s="564"/>
      <c r="DSJ4" s="564"/>
      <c r="DSK4" s="564"/>
      <c r="DSL4" s="564"/>
      <c r="DSM4" s="564"/>
      <c r="DSN4" s="564"/>
      <c r="DSO4" s="564"/>
      <c r="DSP4" s="564"/>
      <c r="DSQ4" s="564"/>
      <c r="DSR4" s="564"/>
      <c r="DSS4" s="564"/>
      <c r="DST4" s="564"/>
      <c r="DSU4" s="564"/>
      <c r="DSV4" s="564"/>
      <c r="DSW4" s="564"/>
      <c r="DSX4" s="564"/>
      <c r="DSY4" s="564"/>
      <c r="DSZ4" s="564"/>
      <c r="DTA4" s="564"/>
      <c r="DTB4" s="564"/>
      <c r="DTC4" s="564"/>
      <c r="DTD4" s="564"/>
      <c r="DTE4" s="564"/>
      <c r="DTF4" s="564"/>
      <c r="DTG4" s="564"/>
      <c r="DTH4" s="564"/>
      <c r="DTI4" s="564"/>
      <c r="DTJ4" s="564"/>
      <c r="DTK4" s="564"/>
      <c r="DTL4" s="564"/>
      <c r="DTM4" s="564"/>
      <c r="DTN4" s="564"/>
      <c r="DTO4" s="564"/>
      <c r="DTP4" s="564"/>
      <c r="DTQ4" s="564"/>
      <c r="DTR4" s="564"/>
      <c r="DTS4" s="564"/>
      <c r="DTT4" s="564"/>
      <c r="DTU4" s="564"/>
      <c r="DTV4" s="564"/>
      <c r="DTW4" s="564"/>
      <c r="DTX4" s="564"/>
      <c r="DTY4" s="564"/>
      <c r="DTZ4" s="564"/>
      <c r="DUA4" s="564"/>
      <c r="DUB4" s="564"/>
      <c r="DUC4" s="564"/>
      <c r="DUD4" s="564"/>
      <c r="DUE4" s="564"/>
      <c r="DUF4" s="564"/>
      <c r="DUG4" s="564"/>
      <c r="DUH4" s="564"/>
      <c r="DUI4" s="564"/>
      <c r="DUJ4" s="564"/>
      <c r="DUK4" s="564"/>
      <c r="DUL4" s="564"/>
      <c r="DUM4" s="564"/>
      <c r="DUN4" s="564"/>
      <c r="DUO4" s="564"/>
      <c r="DUP4" s="564"/>
      <c r="DUQ4" s="564"/>
      <c r="DUR4" s="564"/>
      <c r="DUS4" s="564"/>
      <c r="DUT4" s="564"/>
      <c r="DUU4" s="564"/>
      <c r="DUV4" s="564"/>
      <c r="DUW4" s="564"/>
      <c r="DUX4" s="564"/>
      <c r="DUY4" s="564"/>
      <c r="DUZ4" s="564"/>
      <c r="DVA4" s="564"/>
      <c r="DVB4" s="564"/>
      <c r="DVC4" s="564"/>
      <c r="DVD4" s="564"/>
      <c r="DVE4" s="564"/>
      <c r="DVF4" s="564"/>
      <c r="DVG4" s="564"/>
      <c r="DVH4" s="564"/>
      <c r="DVI4" s="564"/>
      <c r="DVJ4" s="564"/>
      <c r="DVK4" s="564"/>
      <c r="DVL4" s="564"/>
      <c r="DVM4" s="564"/>
      <c r="DVN4" s="564"/>
      <c r="DVO4" s="564"/>
      <c r="DVP4" s="564"/>
      <c r="DVQ4" s="564"/>
      <c r="DVR4" s="564"/>
      <c r="DVS4" s="564"/>
      <c r="DVT4" s="564"/>
      <c r="DVU4" s="564"/>
      <c r="DVV4" s="564"/>
      <c r="DVW4" s="564"/>
      <c r="DVX4" s="564"/>
      <c r="DVY4" s="564"/>
      <c r="DVZ4" s="564"/>
      <c r="DWA4" s="564"/>
      <c r="DWB4" s="564"/>
      <c r="DWC4" s="564"/>
      <c r="DWD4" s="564"/>
      <c r="DWE4" s="564"/>
      <c r="DWF4" s="564"/>
      <c r="DWG4" s="564"/>
      <c r="DWH4" s="564"/>
      <c r="DWI4" s="564"/>
      <c r="DWJ4" s="564"/>
      <c r="DWK4" s="564"/>
      <c r="DWL4" s="564"/>
      <c r="DWM4" s="564"/>
      <c r="DWN4" s="564"/>
      <c r="DWO4" s="564"/>
      <c r="DWP4" s="564"/>
      <c r="DWQ4" s="564"/>
      <c r="DWR4" s="564"/>
      <c r="DWS4" s="564"/>
      <c r="DWT4" s="564"/>
      <c r="DWU4" s="564"/>
      <c r="DWV4" s="564"/>
      <c r="DWW4" s="564"/>
      <c r="DWX4" s="564"/>
      <c r="DWY4" s="564"/>
      <c r="DWZ4" s="564"/>
      <c r="DXA4" s="564"/>
      <c r="DXB4" s="564"/>
      <c r="DXC4" s="564"/>
      <c r="DXD4" s="564"/>
      <c r="DXE4" s="564"/>
      <c r="DXF4" s="564"/>
      <c r="DXG4" s="564"/>
      <c r="DXH4" s="564"/>
      <c r="DXI4" s="564"/>
      <c r="DXJ4" s="564"/>
      <c r="DXK4" s="564"/>
      <c r="DXL4" s="564"/>
      <c r="DXM4" s="564"/>
      <c r="DXN4" s="564"/>
      <c r="DXO4" s="564"/>
      <c r="DXP4" s="564"/>
      <c r="DXQ4" s="564"/>
      <c r="DXR4" s="564"/>
      <c r="DXS4" s="564"/>
      <c r="DXT4" s="564"/>
      <c r="DXU4" s="564"/>
      <c r="DXV4" s="564"/>
      <c r="DXW4" s="564"/>
      <c r="DXX4" s="564"/>
      <c r="DXY4" s="564"/>
      <c r="DXZ4" s="564"/>
      <c r="DYA4" s="564"/>
      <c r="DYB4" s="564"/>
      <c r="DYC4" s="564"/>
      <c r="DYD4" s="564"/>
      <c r="DYE4" s="564"/>
      <c r="DYF4" s="564"/>
      <c r="DYG4" s="564"/>
      <c r="DYH4" s="564"/>
      <c r="DYI4" s="564"/>
      <c r="DYJ4" s="564"/>
      <c r="DYK4" s="564"/>
      <c r="DYL4" s="564"/>
      <c r="DYM4" s="564"/>
      <c r="DYN4" s="564"/>
      <c r="DYO4" s="564"/>
      <c r="DYP4" s="564"/>
      <c r="DYQ4" s="564"/>
      <c r="DYR4" s="564"/>
      <c r="DYS4" s="564"/>
      <c r="DYT4" s="564"/>
      <c r="DYU4" s="564"/>
      <c r="DYV4" s="564"/>
      <c r="DYW4" s="564"/>
      <c r="DYX4" s="564"/>
      <c r="DYY4" s="564"/>
      <c r="DYZ4" s="564"/>
      <c r="DZA4" s="564"/>
      <c r="DZB4" s="564"/>
      <c r="DZC4" s="564"/>
      <c r="DZD4" s="564"/>
      <c r="DZE4" s="564"/>
      <c r="DZF4" s="564"/>
      <c r="DZG4" s="564"/>
      <c r="DZH4" s="564"/>
      <c r="DZI4" s="564"/>
      <c r="DZJ4" s="564"/>
      <c r="DZK4" s="564"/>
      <c r="DZL4" s="564"/>
      <c r="DZM4" s="564"/>
      <c r="DZN4" s="564"/>
      <c r="DZO4" s="564"/>
      <c r="DZP4" s="564"/>
      <c r="DZQ4" s="564"/>
      <c r="DZR4" s="564"/>
      <c r="DZS4" s="564"/>
      <c r="DZT4" s="564"/>
      <c r="DZU4" s="564"/>
      <c r="DZV4" s="564"/>
      <c r="DZW4" s="564"/>
      <c r="DZX4" s="564"/>
      <c r="DZY4" s="564"/>
      <c r="DZZ4" s="564"/>
      <c r="EAA4" s="564"/>
      <c r="EAB4" s="564"/>
      <c r="EAC4" s="564"/>
      <c r="EAD4" s="564"/>
      <c r="EAE4" s="564"/>
      <c r="EAF4" s="564"/>
      <c r="EAG4" s="564"/>
      <c r="EAH4" s="564"/>
      <c r="EAI4" s="564"/>
      <c r="EAJ4" s="564"/>
      <c r="EAK4" s="564"/>
      <c r="EAL4" s="564"/>
      <c r="EAM4" s="564"/>
      <c r="EAN4" s="564"/>
      <c r="EAO4" s="564"/>
      <c r="EAP4" s="564"/>
      <c r="EAQ4" s="564"/>
      <c r="EAR4" s="564"/>
      <c r="EAS4" s="564"/>
      <c r="EAT4" s="564"/>
      <c r="EAU4" s="564"/>
      <c r="EAV4" s="564"/>
      <c r="EAW4" s="564"/>
      <c r="EAX4" s="564"/>
      <c r="EAY4" s="564"/>
      <c r="EAZ4" s="564"/>
      <c r="EBA4" s="564"/>
      <c r="EBB4" s="564"/>
      <c r="EBC4" s="564"/>
      <c r="EBD4" s="564"/>
      <c r="EBE4" s="564"/>
      <c r="EBF4" s="564"/>
      <c r="EBG4" s="564"/>
      <c r="EBH4" s="564"/>
      <c r="EBI4" s="564"/>
      <c r="EBJ4" s="564"/>
      <c r="EBK4" s="564"/>
      <c r="EBL4" s="564"/>
      <c r="EBM4" s="564"/>
      <c r="EBN4" s="564"/>
      <c r="EBO4" s="564"/>
      <c r="EBP4" s="564"/>
      <c r="EBQ4" s="564"/>
      <c r="EBR4" s="564"/>
      <c r="EBS4" s="564"/>
      <c r="EBT4" s="564"/>
      <c r="EBU4" s="564"/>
      <c r="EBV4" s="564"/>
      <c r="EBW4" s="564"/>
      <c r="EBX4" s="564"/>
      <c r="EBY4" s="564"/>
      <c r="EBZ4" s="564"/>
      <c r="ECA4" s="564"/>
      <c r="ECB4" s="564"/>
      <c r="ECC4" s="564"/>
      <c r="ECD4" s="564"/>
      <c r="ECE4" s="564"/>
      <c r="ECF4" s="564"/>
      <c r="ECG4" s="564"/>
      <c r="ECH4" s="564"/>
      <c r="ECI4" s="564"/>
      <c r="ECJ4" s="564"/>
      <c r="ECK4" s="564"/>
      <c r="ECL4" s="564"/>
      <c r="ECM4" s="564"/>
      <c r="ECN4" s="564"/>
      <c r="ECO4" s="564"/>
      <c r="ECP4" s="564"/>
      <c r="ECQ4" s="564"/>
      <c r="ECR4" s="564"/>
      <c r="ECS4" s="564"/>
      <c r="ECT4" s="564"/>
      <c r="ECU4" s="564"/>
      <c r="ECV4" s="564"/>
      <c r="ECW4" s="564"/>
      <c r="ECX4" s="564"/>
      <c r="ECY4" s="564"/>
      <c r="ECZ4" s="564"/>
      <c r="EDA4" s="564"/>
      <c r="EDB4" s="564"/>
      <c r="EDC4" s="564"/>
      <c r="EDD4" s="564"/>
      <c r="EDE4" s="564"/>
      <c r="EDF4" s="564"/>
      <c r="EDG4" s="564"/>
      <c r="EDH4" s="564"/>
      <c r="EDI4" s="564"/>
      <c r="EDJ4" s="564"/>
      <c r="EDK4" s="564"/>
      <c r="EDL4" s="564"/>
      <c r="EDM4" s="564"/>
      <c r="EDN4" s="564"/>
      <c r="EDO4" s="564"/>
      <c r="EDP4" s="564"/>
      <c r="EDQ4" s="564"/>
      <c r="EDR4" s="564"/>
      <c r="EDS4" s="564"/>
      <c r="EDT4" s="564"/>
      <c r="EDU4" s="564"/>
      <c r="EDV4" s="564"/>
      <c r="EDW4" s="564"/>
      <c r="EDX4" s="564"/>
      <c r="EDY4" s="564"/>
      <c r="EDZ4" s="564"/>
      <c r="EEA4" s="564"/>
      <c r="EEB4" s="564"/>
      <c r="EEC4" s="564"/>
      <c r="EED4" s="564"/>
      <c r="EEE4" s="564"/>
      <c r="EEF4" s="564"/>
      <c r="EEG4" s="564"/>
      <c r="EEH4" s="564"/>
      <c r="EEI4" s="564"/>
      <c r="EEJ4" s="564"/>
      <c r="EEK4" s="564"/>
      <c r="EEL4" s="564"/>
      <c r="EEM4" s="564"/>
      <c r="EEN4" s="564"/>
      <c r="EEO4" s="564"/>
      <c r="EEP4" s="564"/>
      <c r="EEQ4" s="564"/>
      <c r="EER4" s="564"/>
      <c r="EES4" s="564"/>
      <c r="EET4" s="564"/>
      <c r="EEU4" s="564"/>
      <c r="EEV4" s="564"/>
      <c r="EEW4" s="564"/>
      <c r="EEX4" s="564"/>
      <c r="EEY4" s="564"/>
      <c r="EEZ4" s="564"/>
      <c r="EFA4" s="564"/>
      <c r="EFB4" s="564"/>
      <c r="EFC4" s="564"/>
      <c r="EFD4" s="564"/>
      <c r="EFE4" s="564"/>
      <c r="EFF4" s="564"/>
      <c r="EFG4" s="564"/>
      <c r="EFH4" s="564"/>
      <c r="EFI4" s="564"/>
      <c r="EFJ4" s="564"/>
      <c r="EFK4" s="564"/>
      <c r="EFL4" s="564"/>
      <c r="EFM4" s="564"/>
      <c r="EFN4" s="564"/>
      <c r="EFO4" s="564"/>
      <c r="EFP4" s="564"/>
      <c r="EFQ4" s="564"/>
      <c r="EFR4" s="564"/>
      <c r="EFS4" s="564"/>
      <c r="EFT4" s="564"/>
      <c r="EFU4" s="564"/>
      <c r="EFV4" s="564"/>
      <c r="EFW4" s="564"/>
      <c r="EFX4" s="564"/>
      <c r="EFY4" s="564"/>
      <c r="EFZ4" s="564"/>
      <c r="EGA4" s="564"/>
      <c r="EGB4" s="564"/>
      <c r="EGC4" s="564"/>
      <c r="EGD4" s="564"/>
      <c r="EGE4" s="564"/>
      <c r="EGF4" s="564"/>
      <c r="EGG4" s="564"/>
      <c r="EGH4" s="564"/>
      <c r="EGI4" s="564"/>
      <c r="EGJ4" s="564"/>
      <c r="EGK4" s="564"/>
      <c r="EGL4" s="564"/>
      <c r="EGM4" s="564"/>
      <c r="EGN4" s="564"/>
      <c r="EGO4" s="564"/>
      <c r="EGP4" s="564"/>
      <c r="EGQ4" s="564"/>
      <c r="EGR4" s="564"/>
      <c r="EGS4" s="564"/>
      <c r="EGT4" s="564"/>
      <c r="EGU4" s="564"/>
      <c r="EGV4" s="564"/>
      <c r="EGW4" s="564"/>
      <c r="EGX4" s="564"/>
      <c r="EGY4" s="564"/>
      <c r="EGZ4" s="564"/>
      <c r="EHA4" s="564"/>
      <c r="EHB4" s="564"/>
      <c r="EHC4" s="564"/>
      <c r="EHD4" s="564"/>
      <c r="EHE4" s="564"/>
      <c r="EHF4" s="564"/>
      <c r="EHG4" s="564"/>
      <c r="EHH4" s="564"/>
      <c r="EHI4" s="564"/>
      <c r="EHJ4" s="564"/>
      <c r="EHK4" s="564"/>
      <c r="EHL4" s="564"/>
      <c r="EHM4" s="564"/>
      <c r="EHN4" s="564"/>
      <c r="EHO4" s="564"/>
      <c r="EHP4" s="564"/>
      <c r="EHQ4" s="564"/>
      <c r="EHR4" s="564"/>
      <c r="EHS4" s="564"/>
      <c r="EHT4" s="564"/>
      <c r="EHU4" s="564"/>
      <c r="EHV4" s="564"/>
      <c r="EHW4" s="564"/>
      <c r="EHX4" s="564"/>
      <c r="EHY4" s="564"/>
      <c r="EHZ4" s="564"/>
      <c r="EIA4" s="564"/>
      <c r="EIB4" s="564"/>
      <c r="EIC4" s="564"/>
      <c r="EID4" s="564"/>
      <c r="EIE4" s="564"/>
      <c r="EIF4" s="564"/>
      <c r="EIG4" s="564"/>
      <c r="EIH4" s="564"/>
      <c r="EII4" s="564"/>
      <c r="EIJ4" s="564"/>
      <c r="EIK4" s="564"/>
      <c r="EIL4" s="564"/>
      <c r="EIM4" s="564"/>
      <c r="EIN4" s="564"/>
      <c r="EIO4" s="564"/>
      <c r="EIP4" s="564"/>
      <c r="EIQ4" s="564"/>
      <c r="EIR4" s="564"/>
      <c r="EIS4" s="564"/>
      <c r="EIT4" s="564"/>
      <c r="EIU4" s="564"/>
      <c r="EIV4" s="564"/>
      <c r="EIW4" s="564"/>
      <c r="EIX4" s="564"/>
      <c r="EIY4" s="564"/>
      <c r="EIZ4" s="564"/>
      <c r="EJA4" s="564"/>
      <c r="EJB4" s="564"/>
      <c r="EJC4" s="564"/>
      <c r="EJD4" s="564"/>
      <c r="EJE4" s="564"/>
      <c r="EJF4" s="564"/>
      <c r="EJG4" s="564"/>
      <c r="EJH4" s="564"/>
      <c r="EJI4" s="564"/>
      <c r="EJJ4" s="564"/>
      <c r="EJK4" s="564"/>
      <c r="EJL4" s="564"/>
      <c r="EJM4" s="564"/>
      <c r="EJN4" s="564"/>
      <c r="EJO4" s="564"/>
      <c r="EJP4" s="564"/>
      <c r="EJQ4" s="564"/>
      <c r="EJR4" s="564"/>
      <c r="EJS4" s="564"/>
      <c r="EJT4" s="564"/>
      <c r="EJU4" s="564"/>
      <c r="EJV4" s="564"/>
      <c r="EJW4" s="564"/>
      <c r="EJX4" s="564"/>
      <c r="EJY4" s="564"/>
      <c r="EJZ4" s="564"/>
      <c r="EKA4" s="564"/>
      <c r="EKB4" s="564"/>
      <c r="EKC4" s="564"/>
      <c r="EKD4" s="564"/>
      <c r="EKE4" s="564"/>
      <c r="EKF4" s="564"/>
      <c r="EKG4" s="564"/>
      <c r="EKH4" s="564"/>
      <c r="EKI4" s="564"/>
      <c r="EKJ4" s="564"/>
      <c r="EKK4" s="564"/>
      <c r="EKL4" s="564"/>
      <c r="EKM4" s="564"/>
      <c r="EKN4" s="564"/>
      <c r="EKO4" s="564"/>
      <c r="EKP4" s="564"/>
      <c r="EKQ4" s="564"/>
      <c r="EKR4" s="564"/>
      <c r="EKS4" s="564"/>
      <c r="EKT4" s="564"/>
      <c r="EKU4" s="564"/>
      <c r="EKV4" s="564"/>
      <c r="EKW4" s="564"/>
      <c r="EKX4" s="564"/>
      <c r="EKY4" s="564"/>
      <c r="EKZ4" s="564"/>
      <c r="ELA4" s="564"/>
      <c r="ELB4" s="564"/>
      <c r="ELC4" s="564"/>
      <c r="ELD4" s="564"/>
      <c r="ELE4" s="564"/>
      <c r="ELF4" s="564"/>
      <c r="ELG4" s="564"/>
      <c r="ELH4" s="564"/>
      <c r="ELI4" s="564"/>
      <c r="ELJ4" s="564"/>
      <c r="ELK4" s="564"/>
      <c r="ELL4" s="564"/>
      <c r="ELM4" s="564"/>
      <c r="ELN4" s="564"/>
      <c r="ELO4" s="564"/>
      <c r="ELP4" s="564"/>
      <c r="ELQ4" s="564"/>
      <c r="ELR4" s="564"/>
      <c r="ELS4" s="564"/>
      <c r="ELT4" s="564"/>
      <c r="ELU4" s="564"/>
      <c r="ELV4" s="564"/>
      <c r="ELW4" s="564"/>
      <c r="ELX4" s="564"/>
      <c r="ELY4" s="564"/>
      <c r="ELZ4" s="564"/>
      <c r="EMA4" s="564"/>
      <c r="EMB4" s="564"/>
      <c r="EMC4" s="564"/>
      <c r="EMD4" s="564"/>
      <c r="EME4" s="564"/>
      <c r="EMF4" s="564"/>
      <c r="EMG4" s="564"/>
      <c r="EMH4" s="564"/>
      <c r="EMI4" s="564"/>
      <c r="EMJ4" s="564"/>
      <c r="EMK4" s="564"/>
      <c r="EML4" s="564"/>
      <c r="EMM4" s="564"/>
      <c r="EMN4" s="564"/>
      <c r="EMO4" s="564"/>
      <c r="EMP4" s="564"/>
      <c r="EMQ4" s="564"/>
      <c r="EMR4" s="564"/>
      <c r="EMS4" s="564"/>
      <c r="EMT4" s="564"/>
      <c r="EMU4" s="564"/>
      <c r="EMV4" s="564"/>
      <c r="EMW4" s="564"/>
      <c r="EMX4" s="564"/>
      <c r="EMY4" s="564"/>
      <c r="EMZ4" s="564"/>
      <c r="ENA4" s="564"/>
      <c r="ENB4" s="564"/>
      <c r="ENC4" s="564"/>
      <c r="END4" s="564"/>
      <c r="ENE4" s="564"/>
      <c r="ENF4" s="564"/>
      <c r="ENG4" s="564"/>
      <c r="ENH4" s="564"/>
      <c r="ENI4" s="564"/>
      <c r="ENJ4" s="564"/>
      <c r="ENK4" s="564"/>
      <c r="ENL4" s="564"/>
      <c r="ENM4" s="564"/>
      <c r="ENN4" s="564"/>
      <c r="ENO4" s="564"/>
      <c r="ENP4" s="564"/>
      <c r="ENQ4" s="564"/>
      <c r="ENR4" s="564"/>
      <c r="ENS4" s="564"/>
      <c r="ENT4" s="564"/>
      <c r="ENU4" s="564"/>
      <c r="ENV4" s="564"/>
      <c r="ENW4" s="564"/>
      <c r="ENX4" s="564"/>
      <c r="ENY4" s="564"/>
      <c r="ENZ4" s="564"/>
      <c r="EOA4" s="564"/>
      <c r="EOB4" s="564"/>
      <c r="EOC4" s="564"/>
      <c r="EOD4" s="564"/>
      <c r="EOE4" s="564"/>
      <c r="EOF4" s="564"/>
      <c r="EOG4" s="564"/>
      <c r="EOH4" s="564"/>
      <c r="EOI4" s="564"/>
      <c r="EOJ4" s="564"/>
      <c r="EOK4" s="564"/>
      <c r="EOL4" s="564"/>
      <c r="EOM4" s="564"/>
      <c r="EON4" s="564"/>
      <c r="EOO4" s="564"/>
      <c r="EOP4" s="564"/>
      <c r="EOQ4" s="564"/>
      <c r="EOR4" s="564"/>
      <c r="EOS4" s="564"/>
      <c r="EOT4" s="564"/>
      <c r="EOU4" s="564"/>
      <c r="EOV4" s="564"/>
      <c r="EOW4" s="564"/>
      <c r="EOX4" s="564"/>
      <c r="EOY4" s="564"/>
      <c r="EOZ4" s="564"/>
      <c r="EPA4" s="564"/>
      <c r="EPB4" s="564"/>
      <c r="EPC4" s="564"/>
      <c r="EPD4" s="564"/>
      <c r="EPE4" s="564"/>
      <c r="EPF4" s="564"/>
      <c r="EPG4" s="564"/>
      <c r="EPH4" s="564"/>
      <c r="EPI4" s="564"/>
      <c r="EPJ4" s="564"/>
      <c r="EPK4" s="564"/>
      <c r="EPL4" s="564"/>
      <c r="EPM4" s="564"/>
      <c r="EPN4" s="564"/>
      <c r="EPO4" s="564"/>
      <c r="EPP4" s="564"/>
      <c r="EPQ4" s="564"/>
      <c r="EPR4" s="564"/>
      <c r="EPS4" s="564"/>
      <c r="EPT4" s="564"/>
      <c r="EPU4" s="564"/>
      <c r="EPV4" s="564"/>
      <c r="EPW4" s="564"/>
      <c r="EPX4" s="564"/>
      <c r="EPY4" s="564"/>
      <c r="EPZ4" s="564"/>
      <c r="EQA4" s="564"/>
      <c r="EQB4" s="564"/>
      <c r="EQC4" s="564"/>
      <c r="EQD4" s="564"/>
      <c r="EQE4" s="564"/>
      <c r="EQF4" s="564"/>
      <c r="EQG4" s="564"/>
      <c r="EQH4" s="564"/>
      <c r="EQI4" s="564"/>
      <c r="EQJ4" s="564"/>
      <c r="EQK4" s="564"/>
      <c r="EQL4" s="564"/>
      <c r="EQM4" s="564"/>
      <c r="EQN4" s="564"/>
      <c r="EQO4" s="564"/>
      <c r="EQP4" s="564"/>
      <c r="EQQ4" s="564"/>
      <c r="EQR4" s="564"/>
      <c r="EQS4" s="564"/>
      <c r="EQT4" s="564"/>
      <c r="EQU4" s="564"/>
      <c r="EQV4" s="564"/>
      <c r="EQW4" s="564"/>
      <c r="EQX4" s="564"/>
      <c r="EQY4" s="564"/>
      <c r="EQZ4" s="564"/>
      <c r="ERA4" s="564"/>
      <c r="ERB4" s="564"/>
      <c r="ERC4" s="564"/>
      <c r="ERD4" s="564"/>
      <c r="ERE4" s="564"/>
      <c r="ERF4" s="564"/>
      <c r="ERG4" s="564"/>
      <c r="ERH4" s="564"/>
      <c r="ERI4" s="564"/>
      <c r="ERJ4" s="564"/>
      <c r="ERK4" s="564"/>
      <c r="ERL4" s="564"/>
      <c r="ERM4" s="564"/>
      <c r="ERN4" s="564"/>
      <c r="ERO4" s="564"/>
      <c r="ERP4" s="564"/>
      <c r="ERQ4" s="564"/>
      <c r="ERR4" s="564"/>
      <c r="ERS4" s="564"/>
      <c r="ERT4" s="564"/>
      <c r="ERU4" s="564"/>
      <c r="ERV4" s="564"/>
      <c r="ERW4" s="564"/>
      <c r="ERX4" s="564"/>
      <c r="ERY4" s="564"/>
      <c r="ERZ4" s="564"/>
      <c r="ESA4" s="564"/>
      <c r="ESB4" s="564"/>
      <c r="ESC4" s="564"/>
      <c r="ESD4" s="564"/>
      <c r="ESE4" s="564"/>
      <c r="ESF4" s="564"/>
      <c r="ESG4" s="564"/>
      <c r="ESH4" s="564"/>
      <c r="ESI4" s="564"/>
      <c r="ESJ4" s="564"/>
      <c r="ESK4" s="564"/>
      <c r="ESL4" s="564"/>
      <c r="ESM4" s="564"/>
      <c r="ESN4" s="564"/>
      <c r="ESO4" s="564"/>
      <c r="ESP4" s="564"/>
      <c r="ESQ4" s="564"/>
      <c r="ESR4" s="564"/>
      <c r="ESS4" s="564"/>
      <c r="EST4" s="564"/>
      <c r="ESU4" s="564"/>
      <c r="ESV4" s="564"/>
      <c r="ESW4" s="564"/>
      <c r="ESX4" s="564"/>
      <c r="ESY4" s="564"/>
      <c r="ESZ4" s="564"/>
      <c r="ETA4" s="564"/>
      <c r="ETB4" s="564"/>
      <c r="ETC4" s="564"/>
      <c r="ETD4" s="564"/>
      <c r="ETE4" s="564"/>
      <c r="ETF4" s="564"/>
      <c r="ETG4" s="564"/>
      <c r="ETH4" s="564"/>
      <c r="ETI4" s="564"/>
      <c r="ETJ4" s="564"/>
      <c r="ETK4" s="564"/>
      <c r="ETL4" s="564"/>
      <c r="ETM4" s="564"/>
      <c r="ETN4" s="564"/>
      <c r="ETO4" s="564"/>
      <c r="ETP4" s="564"/>
      <c r="ETQ4" s="564"/>
      <c r="ETR4" s="564"/>
      <c r="ETS4" s="564"/>
      <c r="ETT4" s="564"/>
      <c r="ETU4" s="564"/>
      <c r="ETV4" s="564"/>
      <c r="ETW4" s="564"/>
      <c r="ETX4" s="564"/>
      <c r="ETY4" s="564"/>
      <c r="ETZ4" s="564"/>
      <c r="EUA4" s="564"/>
      <c r="EUB4" s="564"/>
      <c r="EUC4" s="564"/>
      <c r="EUD4" s="564"/>
      <c r="EUE4" s="564"/>
      <c r="EUF4" s="564"/>
      <c r="EUG4" s="564"/>
      <c r="EUH4" s="564"/>
      <c r="EUI4" s="564"/>
      <c r="EUJ4" s="564"/>
      <c r="EUK4" s="564"/>
      <c r="EUL4" s="564"/>
      <c r="EUM4" s="564"/>
      <c r="EUN4" s="564"/>
      <c r="EUO4" s="564"/>
      <c r="EUP4" s="564"/>
      <c r="EUQ4" s="564"/>
      <c r="EUR4" s="564"/>
      <c r="EUS4" s="564"/>
      <c r="EUT4" s="564"/>
      <c r="EUU4" s="564"/>
      <c r="EUV4" s="564"/>
      <c r="EUW4" s="564"/>
      <c r="EUX4" s="564"/>
      <c r="EUY4" s="564"/>
      <c r="EUZ4" s="564"/>
      <c r="EVA4" s="564"/>
      <c r="EVB4" s="564"/>
      <c r="EVC4" s="564"/>
      <c r="EVD4" s="564"/>
      <c r="EVE4" s="564"/>
      <c r="EVF4" s="564"/>
      <c r="EVG4" s="564"/>
      <c r="EVH4" s="564"/>
      <c r="EVI4" s="564"/>
      <c r="EVJ4" s="564"/>
      <c r="EVK4" s="564"/>
      <c r="EVL4" s="564"/>
      <c r="EVM4" s="564"/>
      <c r="EVN4" s="564"/>
      <c r="EVO4" s="564"/>
      <c r="EVP4" s="564"/>
      <c r="EVQ4" s="564"/>
      <c r="EVR4" s="564"/>
      <c r="EVS4" s="564"/>
      <c r="EVT4" s="564"/>
      <c r="EVU4" s="564"/>
      <c r="EVV4" s="564"/>
      <c r="EVW4" s="564"/>
      <c r="EVX4" s="564"/>
      <c r="EVY4" s="564"/>
      <c r="EVZ4" s="564"/>
      <c r="EWA4" s="564"/>
      <c r="EWB4" s="564"/>
      <c r="EWC4" s="564"/>
      <c r="EWD4" s="564"/>
      <c r="EWE4" s="564"/>
      <c r="EWF4" s="564"/>
      <c r="EWG4" s="564"/>
      <c r="EWH4" s="564"/>
      <c r="EWI4" s="564"/>
      <c r="EWJ4" s="564"/>
      <c r="EWK4" s="564"/>
      <c r="EWL4" s="564"/>
      <c r="EWM4" s="564"/>
      <c r="EWN4" s="564"/>
      <c r="EWO4" s="564"/>
      <c r="EWP4" s="564"/>
      <c r="EWQ4" s="564"/>
      <c r="EWR4" s="564"/>
      <c r="EWS4" s="564"/>
      <c r="EWT4" s="564"/>
      <c r="EWU4" s="564"/>
      <c r="EWV4" s="564"/>
      <c r="EWW4" s="564"/>
      <c r="EWX4" s="564"/>
      <c r="EWY4" s="564"/>
      <c r="EWZ4" s="564"/>
      <c r="EXA4" s="564"/>
      <c r="EXB4" s="564"/>
      <c r="EXC4" s="564"/>
      <c r="EXD4" s="564"/>
      <c r="EXE4" s="564"/>
      <c r="EXF4" s="564"/>
      <c r="EXG4" s="564"/>
      <c r="EXH4" s="564"/>
      <c r="EXI4" s="564"/>
      <c r="EXJ4" s="564"/>
      <c r="EXK4" s="564"/>
      <c r="EXL4" s="564"/>
      <c r="EXM4" s="564"/>
      <c r="EXN4" s="564"/>
      <c r="EXO4" s="564"/>
      <c r="EXP4" s="564"/>
      <c r="EXQ4" s="564"/>
      <c r="EXR4" s="564"/>
      <c r="EXS4" s="564"/>
      <c r="EXT4" s="564"/>
      <c r="EXU4" s="564"/>
      <c r="EXV4" s="564"/>
      <c r="EXW4" s="564"/>
      <c r="EXX4" s="564"/>
      <c r="EXY4" s="564"/>
      <c r="EXZ4" s="564"/>
      <c r="EYA4" s="564"/>
      <c r="EYB4" s="564"/>
      <c r="EYC4" s="564"/>
      <c r="EYD4" s="564"/>
      <c r="EYE4" s="564"/>
      <c r="EYF4" s="564"/>
      <c r="EYG4" s="564"/>
      <c r="EYH4" s="564"/>
      <c r="EYI4" s="564"/>
      <c r="EYJ4" s="564"/>
      <c r="EYK4" s="564"/>
      <c r="EYL4" s="564"/>
      <c r="EYM4" s="564"/>
      <c r="EYN4" s="564"/>
      <c r="EYO4" s="564"/>
      <c r="EYP4" s="564"/>
      <c r="EYQ4" s="564"/>
      <c r="EYR4" s="564"/>
      <c r="EYS4" s="564"/>
      <c r="EYT4" s="564"/>
      <c r="EYU4" s="564"/>
      <c r="EYV4" s="564"/>
      <c r="EYW4" s="564"/>
      <c r="EYX4" s="564"/>
      <c r="EYY4" s="564"/>
      <c r="EYZ4" s="564"/>
      <c r="EZA4" s="564"/>
      <c r="EZB4" s="564"/>
      <c r="EZC4" s="564"/>
      <c r="EZD4" s="564"/>
      <c r="EZE4" s="564"/>
      <c r="EZF4" s="564"/>
      <c r="EZG4" s="564"/>
      <c r="EZH4" s="564"/>
      <c r="EZI4" s="564"/>
      <c r="EZJ4" s="564"/>
      <c r="EZK4" s="564"/>
      <c r="EZL4" s="564"/>
      <c r="EZM4" s="564"/>
      <c r="EZN4" s="564"/>
      <c r="EZO4" s="564"/>
      <c r="EZP4" s="564"/>
      <c r="EZQ4" s="564"/>
      <c r="EZR4" s="564"/>
      <c r="EZS4" s="564"/>
      <c r="EZT4" s="564"/>
      <c r="EZU4" s="564"/>
      <c r="EZV4" s="564"/>
      <c r="EZW4" s="564"/>
      <c r="EZX4" s="564"/>
      <c r="EZY4" s="564"/>
      <c r="EZZ4" s="564"/>
      <c r="FAA4" s="564"/>
      <c r="FAB4" s="564"/>
      <c r="FAC4" s="564"/>
      <c r="FAD4" s="564"/>
      <c r="FAE4" s="564"/>
      <c r="FAF4" s="564"/>
      <c r="FAG4" s="564"/>
      <c r="FAH4" s="564"/>
      <c r="FAI4" s="564"/>
      <c r="FAJ4" s="564"/>
      <c r="FAK4" s="564"/>
      <c r="FAL4" s="564"/>
      <c r="FAM4" s="564"/>
      <c r="FAN4" s="564"/>
      <c r="FAO4" s="564"/>
      <c r="FAP4" s="564"/>
      <c r="FAQ4" s="564"/>
      <c r="FAR4" s="564"/>
      <c r="FAS4" s="564"/>
      <c r="FAT4" s="564"/>
      <c r="FAU4" s="564"/>
      <c r="FAV4" s="564"/>
      <c r="FAW4" s="564"/>
      <c r="FAX4" s="564"/>
      <c r="FAY4" s="564"/>
      <c r="FAZ4" s="564"/>
      <c r="FBA4" s="564"/>
      <c r="FBB4" s="564"/>
      <c r="FBC4" s="564"/>
      <c r="FBD4" s="564"/>
      <c r="FBE4" s="564"/>
      <c r="FBF4" s="564"/>
      <c r="FBG4" s="564"/>
      <c r="FBH4" s="564"/>
      <c r="FBI4" s="564"/>
      <c r="FBJ4" s="564"/>
      <c r="FBK4" s="564"/>
      <c r="FBL4" s="564"/>
      <c r="FBM4" s="564"/>
      <c r="FBN4" s="564"/>
      <c r="FBO4" s="564"/>
      <c r="FBP4" s="564"/>
      <c r="FBQ4" s="564"/>
      <c r="FBR4" s="564"/>
      <c r="FBS4" s="564"/>
      <c r="FBT4" s="564"/>
      <c r="FBU4" s="564"/>
      <c r="FBV4" s="564"/>
      <c r="FBW4" s="564"/>
      <c r="FBX4" s="564"/>
      <c r="FBY4" s="564"/>
      <c r="FBZ4" s="564"/>
      <c r="FCA4" s="564"/>
      <c r="FCB4" s="564"/>
      <c r="FCC4" s="564"/>
      <c r="FCD4" s="564"/>
      <c r="FCE4" s="564"/>
      <c r="FCF4" s="564"/>
      <c r="FCG4" s="564"/>
      <c r="FCH4" s="564"/>
      <c r="FCI4" s="564"/>
      <c r="FCJ4" s="564"/>
      <c r="FCK4" s="564"/>
      <c r="FCL4" s="564"/>
      <c r="FCM4" s="564"/>
      <c r="FCN4" s="564"/>
      <c r="FCO4" s="564"/>
      <c r="FCP4" s="564"/>
      <c r="FCQ4" s="564"/>
      <c r="FCR4" s="564"/>
      <c r="FCS4" s="564"/>
      <c r="FCT4" s="564"/>
      <c r="FCU4" s="564"/>
      <c r="FCV4" s="564"/>
      <c r="FCW4" s="564"/>
      <c r="FCX4" s="564"/>
      <c r="FCY4" s="564"/>
      <c r="FCZ4" s="564"/>
      <c r="FDA4" s="564"/>
      <c r="FDB4" s="564"/>
      <c r="FDC4" s="564"/>
      <c r="FDD4" s="564"/>
      <c r="FDE4" s="564"/>
      <c r="FDF4" s="564"/>
      <c r="FDG4" s="564"/>
      <c r="FDH4" s="564"/>
      <c r="FDI4" s="564"/>
      <c r="FDJ4" s="564"/>
      <c r="FDK4" s="564"/>
      <c r="FDL4" s="564"/>
      <c r="FDM4" s="564"/>
      <c r="FDN4" s="564"/>
      <c r="FDO4" s="564"/>
      <c r="FDP4" s="564"/>
      <c r="FDQ4" s="564"/>
      <c r="FDR4" s="564"/>
      <c r="FDS4" s="564"/>
      <c r="FDT4" s="564"/>
      <c r="FDU4" s="564"/>
      <c r="FDV4" s="564"/>
      <c r="FDW4" s="564"/>
      <c r="FDX4" s="564"/>
      <c r="FDY4" s="564"/>
      <c r="FDZ4" s="564"/>
      <c r="FEA4" s="564"/>
      <c r="FEB4" s="564"/>
      <c r="FEC4" s="564"/>
      <c r="FED4" s="564"/>
      <c r="FEE4" s="564"/>
      <c r="FEF4" s="564"/>
      <c r="FEG4" s="564"/>
      <c r="FEH4" s="564"/>
      <c r="FEI4" s="564"/>
      <c r="FEJ4" s="564"/>
      <c r="FEK4" s="564"/>
      <c r="FEL4" s="564"/>
      <c r="FEM4" s="564"/>
      <c r="FEN4" s="564"/>
      <c r="FEO4" s="564"/>
      <c r="FEP4" s="564"/>
      <c r="FEQ4" s="564"/>
      <c r="FER4" s="564"/>
      <c r="FES4" s="564"/>
      <c r="FET4" s="564"/>
      <c r="FEU4" s="564"/>
      <c r="FEV4" s="564"/>
      <c r="FEW4" s="564"/>
      <c r="FEX4" s="564"/>
      <c r="FEY4" s="564"/>
      <c r="FEZ4" s="564"/>
      <c r="FFA4" s="564"/>
      <c r="FFB4" s="564"/>
      <c r="FFC4" s="564"/>
      <c r="FFD4" s="564"/>
      <c r="FFE4" s="564"/>
      <c r="FFF4" s="564"/>
      <c r="FFG4" s="564"/>
      <c r="FFH4" s="564"/>
      <c r="FFI4" s="564"/>
      <c r="FFJ4" s="564"/>
      <c r="FFK4" s="564"/>
      <c r="FFL4" s="564"/>
      <c r="FFM4" s="564"/>
      <c r="FFN4" s="564"/>
      <c r="FFO4" s="564"/>
      <c r="FFP4" s="564"/>
      <c r="FFQ4" s="564"/>
      <c r="FFR4" s="564"/>
      <c r="FFS4" s="564"/>
      <c r="FFT4" s="564"/>
      <c r="FFU4" s="564"/>
      <c r="FFV4" s="564"/>
      <c r="FFW4" s="564"/>
      <c r="FFX4" s="564"/>
      <c r="FFY4" s="564"/>
      <c r="FFZ4" s="564"/>
      <c r="FGA4" s="564"/>
      <c r="FGB4" s="564"/>
      <c r="FGC4" s="564"/>
      <c r="FGD4" s="564"/>
      <c r="FGE4" s="564"/>
      <c r="FGF4" s="564"/>
      <c r="FGG4" s="564"/>
      <c r="FGH4" s="564"/>
      <c r="FGI4" s="564"/>
      <c r="FGJ4" s="564"/>
      <c r="FGK4" s="564"/>
      <c r="FGL4" s="564"/>
      <c r="FGM4" s="564"/>
      <c r="FGN4" s="564"/>
      <c r="FGO4" s="564"/>
      <c r="FGP4" s="564"/>
      <c r="FGQ4" s="564"/>
      <c r="FGR4" s="564"/>
      <c r="FGS4" s="564"/>
      <c r="FGT4" s="564"/>
      <c r="FGU4" s="564"/>
      <c r="FGV4" s="564"/>
      <c r="FGW4" s="564"/>
      <c r="FGX4" s="564"/>
      <c r="FGY4" s="564"/>
      <c r="FGZ4" s="564"/>
      <c r="FHA4" s="564"/>
      <c r="FHB4" s="564"/>
      <c r="FHC4" s="564"/>
      <c r="FHD4" s="564"/>
      <c r="FHE4" s="564"/>
      <c r="FHF4" s="564"/>
      <c r="FHG4" s="564"/>
      <c r="FHH4" s="564"/>
      <c r="FHI4" s="564"/>
      <c r="FHJ4" s="564"/>
      <c r="FHK4" s="564"/>
      <c r="FHL4" s="564"/>
      <c r="FHM4" s="564"/>
      <c r="FHN4" s="564"/>
      <c r="FHO4" s="564"/>
      <c r="FHP4" s="564"/>
      <c r="FHQ4" s="564"/>
      <c r="FHR4" s="564"/>
      <c r="FHS4" s="564"/>
      <c r="FHT4" s="564"/>
      <c r="FHU4" s="564"/>
      <c r="FHV4" s="564"/>
      <c r="FHW4" s="564"/>
      <c r="FHX4" s="564"/>
      <c r="FHY4" s="564"/>
      <c r="FHZ4" s="564"/>
      <c r="FIA4" s="564"/>
      <c r="FIB4" s="564"/>
      <c r="FIC4" s="564"/>
      <c r="FID4" s="564"/>
      <c r="FIE4" s="564"/>
      <c r="FIF4" s="564"/>
      <c r="FIG4" s="564"/>
      <c r="FIH4" s="564"/>
      <c r="FII4" s="564"/>
      <c r="FIJ4" s="564"/>
      <c r="FIK4" s="564"/>
      <c r="FIL4" s="564"/>
      <c r="FIM4" s="564"/>
      <c r="FIN4" s="564"/>
      <c r="FIO4" s="564"/>
      <c r="FIP4" s="564"/>
      <c r="FIQ4" s="564"/>
      <c r="FIR4" s="564"/>
      <c r="FIS4" s="564"/>
      <c r="FIT4" s="564"/>
      <c r="FIU4" s="564"/>
      <c r="FIV4" s="564"/>
      <c r="FIW4" s="564"/>
      <c r="FIX4" s="564"/>
      <c r="FIY4" s="564"/>
      <c r="FIZ4" s="564"/>
      <c r="FJA4" s="564"/>
      <c r="FJB4" s="564"/>
      <c r="FJC4" s="564"/>
      <c r="FJD4" s="564"/>
      <c r="FJE4" s="564"/>
      <c r="FJF4" s="564"/>
      <c r="FJG4" s="564"/>
      <c r="FJH4" s="564"/>
      <c r="FJI4" s="564"/>
      <c r="FJJ4" s="564"/>
      <c r="FJK4" s="564"/>
      <c r="FJL4" s="564"/>
      <c r="FJM4" s="564"/>
      <c r="FJN4" s="564"/>
      <c r="FJO4" s="564"/>
      <c r="FJP4" s="564"/>
      <c r="FJQ4" s="564"/>
      <c r="FJR4" s="564"/>
      <c r="FJS4" s="564"/>
      <c r="FJT4" s="564"/>
      <c r="FJU4" s="564"/>
      <c r="FJV4" s="564"/>
      <c r="FJW4" s="564"/>
      <c r="FJX4" s="564"/>
      <c r="FJY4" s="564"/>
      <c r="FJZ4" s="564"/>
      <c r="FKA4" s="564"/>
      <c r="FKB4" s="564"/>
      <c r="FKC4" s="564"/>
      <c r="FKD4" s="564"/>
      <c r="FKE4" s="564"/>
      <c r="FKF4" s="564"/>
      <c r="FKG4" s="564"/>
      <c r="FKH4" s="564"/>
      <c r="FKI4" s="564"/>
      <c r="FKJ4" s="564"/>
      <c r="FKK4" s="564"/>
      <c r="FKL4" s="564"/>
      <c r="FKM4" s="564"/>
      <c r="FKN4" s="564"/>
      <c r="FKO4" s="564"/>
      <c r="FKP4" s="564"/>
      <c r="FKQ4" s="564"/>
      <c r="FKR4" s="564"/>
      <c r="FKS4" s="564"/>
      <c r="FKT4" s="564"/>
      <c r="FKU4" s="564"/>
      <c r="FKV4" s="564"/>
      <c r="FKW4" s="564"/>
      <c r="FKX4" s="564"/>
      <c r="FKY4" s="564"/>
      <c r="FKZ4" s="564"/>
      <c r="FLA4" s="564"/>
      <c r="FLB4" s="564"/>
      <c r="FLC4" s="564"/>
      <c r="FLD4" s="564"/>
      <c r="FLE4" s="564"/>
      <c r="FLF4" s="564"/>
      <c r="FLG4" s="564"/>
      <c r="FLH4" s="564"/>
      <c r="FLI4" s="564"/>
      <c r="FLJ4" s="564"/>
      <c r="FLK4" s="564"/>
      <c r="FLL4" s="564"/>
      <c r="FLM4" s="564"/>
      <c r="FLN4" s="564"/>
      <c r="FLO4" s="564"/>
      <c r="FLP4" s="564"/>
      <c r="FLQ4" s="564"/>
      <c r="FLR4" s="564"/>
      <c r="FLS4" s="564"/>
      <c r="FLT4" s="564"/>
      <c r="FLU4" s="564"/>
      <c r="FLV4" s="564"/>
      <c r="FLW4" s="564"/>
      <c r="FLX4" s="564"/>
      <c r="FLY4" s="564"/>
      <c r="FLZ4" s="564"/>
      <c r="FMA4" s="564"/>
      <c r="FMB4" s="564"/>
      <c r="FMC4" s="564"/>
      <c r="FMD4" s="564"/>
      <c r="FME4" s="564"/>
      <c r="FMF4" s="564"/>
      <c r="FMG4" s="564"/>
      <c r="FMH4" s="564"/>
      <c r="FMI4" s="564"/>
      <c r="FMJ4" s="564"/>
      <c r="FMK4" s="564"/>
      <c r="FML4" s="564"/>
      <c r="FMM4" s="564"/>
      <c r="FMN4" s="564"/>
      <c r="FMO4" s="564"/>
      <c r="FMP4" s="564"/>
      <c r="FMQ4" s="564"/>
      <c r="FMR4" s="564"/>
      <c r="FMS4" s="564"/>
      <c r="FMT4" s="564"/>
      <c r="FMU4" s="564"/>
      <c r="FMV4" s="564"/>
      <c r="FMW4" s="564"/>
      <c r="FMX4" s="564"/>
      <c r="FMY4" s="564"/>
      <c r="FMZ4" s="564"/>
      <c r="FNA4" s="564"/>
      <c r="FNB4" s="564"/>
      <c r="FNC4" s="564"/>
      <c r="FND4" s="564"/>
      <c r="FNE4" s="564"/>
      <c r="FNF4" s="564"/>
      <c r="FNG4" s="564"/>
      <c r="FNH4" s="564"/>
      <c r="FNI4" s="564"/>
      <c r="FNJ4" s="564"/>
      <c r="FNK4" s="564"/>
      <c r="FNL4" s="564"/>
      <c r="FNM4" s="564"/>
      <c r="FNN4" s="564"/>
      <c r="FNO4" s="564"/>
      <c r="FNP4" s="564"/>
      <c r="FNQ4" s="564"/>
      <c r="FNR4" s="564"/>
      <c r="FNS4" s="564"/>
      <c r="FNT4" s="564"/>
      <c r="FNU4" s="564"/>
      <c r="FNV4" s="564"/>
      <c r="FNW4" s="564"/>
      <c r="FNX4" s="564"/>
      <c r="FNY4" s="564"/>
      <c r="FNZ4" s="564"/>
      <c r="FOA4" s="564"/>
      <c r="FOB4" s="564"/>
      <c r="FOC4" s="564"/>
      <c r="FOD4" s="564"/>
      <c r="FOE4" s="564"/>
      <c r="FOF4" s="564"/>
      <c r="FOG4" s="564"/>
      <c r="FOH4" s="564"/>
      <c r="FOI4" s="564"/>
      <c r="FOJ4" s="564"/>
      <c r="FOK4" s="564"/>
      <c r="FOL4" s="564"/>
      <c r="FOM4" s="564"/>
      <c r="FON4" s="564"/>
      <c r="FOO4" s="564"/>
      <c r="FOP4" s="564"/>
      <c r="FOQ4" s="564"/>
      <c r="FOR4" s="564"/>
      <c r="FOS4" s="564"/>
      <c r="FOT4" s="564"/>
      <c r="FOU4" s="564"/>
      <c r="FOV4" s="564"/>
      <c r="FOW4" s="564"/>
      <c r="FOX4" s="564"/>
      <c r="FOY4" s="564"/>
      <c r="FOZ4" s="564"/>
      <c r="FPA4" s="564"/>
      <c r="FPB4" s="564"/>
      <c r="FPC4" s="564"/>
      <c r="FPD4" s="564"/>
      <c r="FPE4" s="564"/>
      <c r="FPF4" s="564"/>
      <c r="FPG4" s="564"/>
      <c r="FPH4" s="564"/>
      <c r="FPI4" s="564"/>
      <c r="FPJ4" s="564"/>
      <c r="FPK4" s="564"/>
      <c r="FPL4" s="564"/>
      <c r="FPM4" s="564"/>
      <c r="FPN4" s="564"/>
      <c r="FPO4" s="564"/>
      <c r="FPP4" s="564"/>
      <c r="FPQ4" s="564"/>
      <c r="FPR4" s="564"/>
      <c r="FPS4" s="564"/>
      <c r="FPT4" s="564"/>
      <c r="FPU4" s="564"/>
      <c r="FPV4" s="564"/>
      <c r="FPW4" s="564"/>
      <c r="FPX4" s="564"/>
      <c r="FPY4" s="564"/>
      <c r="FPZ4" s="564"/>
      <c r="FQA4" s="564"/>
      <c r="FQB4" s="564"/>
      <c r="FQC4" s="564"/>
      <c r="FQD4" s="564"/>
      <c r="FQE4" s="564"/>
      <c r="FQF4" s="564"/>
      <c r="FQG4" s="564"/>
      <c r="FQH4" s="564"/>
      <c r="FQI4" s="564"/>
      <c r="FQJ4" s="564"/>
      <c r="FQK4" s="564"/>
      <c r="FQL4" s="564"/>
      <c r="FQM4" s="564"/>
      <c r="FQN4" s="564"/>
      <c r="FQO4" s="564"/>
      <c r="FQP4" s="564"/>
      <c r="FQQ4" s="564"/>
      <c r="FQR4" s="564"/>
      <c r="FQS4" s="564"/>
      <c r="FQT4" s="564"/>
      <c r="FQU4" s="564"/>
      <c r="FQV4" s="564"/>
      <c r="FQW4" s="564"/>
      <c r="FQX4" s="564"/>
      <c r="FQY4" s="564"/>
      <c r="FQZ4" s="564"/>
      <c r="FRA4" s="564"/>
      <c r="FRB4" s="564"/>
      <c r="FRC4" s="564"/>
      <c r="FRD4" s="564"/>
      <c r="FRE4" s="564"/>
      <c r="FRF4" s="564"/>
      <c r="FRG4" s="564"/>
      <c r="FRH4" s="564"/>
      <c r="FRI4" s="564"/>
      <c r="FRJ4" s="564"/>
      <c r="FRK4" s="564"/>
      <c r="FRL4" s="564"/>
      <c r="FRM4" s="564"/>
      <c r="FRN4" s="564"/>
      <c r="FRO4" s="564"/>
      <c r="FRP4" s="564"/>
      <c r="FRQ4" s="564"/>
      <c r="FRR4" s="564"/>
      <c r="FRS4" s="564"/>
      <c r="FRT4" s="564"/>
      <c r="FRU4" s="564"/>
      <c r="FRV4" s="564"/>
      <c r="FRW4" s="564"/>
      <c r="FRX4" s="564"/>
      <c r="FRY4" s="564"/>
      <c r="FRZ4" s="564"/>
      <c r="FSA4" s="564"/>
      <c r="FSB4" s="564"/>
      <c r="FSC4" s="564"/>
      <c r="FSD4" s="564"/>
      <c r="FSE4" s="564"/>
      <c r="FSF4" s="564"/>
      <c r="FSG4" s="564"/>
      <c r="FSH4" s="564"/>
      <c r="FSI4" s="564"/>
      <c r="FSJ4" s="564"/>
      <c r="FSK4" s="564"/>
      <c r="FSL4" s="564"/>
      <c r="FSM4" s="564"/>
      <c r="FSN4" s="564"/>
      <c r="FSO4" s="564"/>
      <c r="FSP4" s="564"/>
      <c r="FSQ4" s="564"/>
      <c r="FSR4" s="564"/>
      <c r="FSS4" s="564"/>
      <c r="FST4" s="564"/>
      <c r="FSU4" s="564"/>
      <c r="FSV4" s="564"/>
      <c r="FSW4" s="564"/>
      <c r="FSX4" s="564"/>
      <c r="FSY4" s="564"/>
      <c r="FSZ4" s="564"/>
      <c r="FTA4" s="564"/>
      <c r="FTB4" s="564"/>
      <c r="FTC4" s="564"/>
      <c r="FTD4" s="564"/>
      <c r="FTE4" s="564"/>
      <c r="FTF4" s="564"/>
      <c r="FTG4" s="564"/>
      <c r="FTH4" s="564"/>
      <c r="FTI4" s="564"/>
      <c r="FTJ4" s="564"/>
      <c r="FTK4" s="564"/>
      <c r="FTL4" s="564"/>
      <c r="FTM4" s="564"/>
      <c r="FTN4" s="564"/>
      <c r="FTO4" s="564"/>
      <c r="FTP4" s="564"/>
      <c r="FTQ4" s="564"/>
      <c r="FTR4" s="564"/>
      <c r="FTS4" s="564"/>
      <c r="FTT4" s="564"/>
      <c r="FTU4" s="564"/>
      <c r="FTV4" s="564"/>
      <c r="FTW4" s="564"/>
      <c r="FTX4" s="564"/>
      <c r="FTY4" s="564"/>
      <c r="FTZ4" s="564"/>
      <c r="FUA4" s="564"/>
      <c r="FUB4" s="564"/>
      <c r="FUC4" s="564"/>
      <c r="FUD4" s="564"/>
      <c r="FUE4" s="564"/>
      <c r="FUF4" s="564"/>
      <c r="FUG4" s="564"/>
      <c r="FUH4" s="564"/>
      <c r="FUI4" s="564"/>
      <c r="FUJ4" s="564"/>
      <c r="FUK4" s="564"/>
      <c r="FUL4" s="564"/>
      <c r="FUM4" s="564"/>
      <c r="FUN4" s="564"/>
      <c r="FUO4" s="564"/>
      <c r="FUP4" s="564"/>
      <c r="FUQ4" s="564"/>
      <c r="FUR4" s="564"/>
      <c r="FUS4" s="564"/>
      <c r="FUT4" s="564"/>
      <c r="FUU4" s="564"/>
      <c r="FUV4" s="564"/>
      <c r="FUW4" s="564"/>
      <c r="FUX4" s="564"/>
      <c r="FUY4" s="564"/>
      <c r="FUZ4" s="564"/>
      <c r="FVA4" s="564"/>
      <c r="FVB4" s="564"/>
      <c r="FVC4" s="564"/>
      <c r="FVD4" s="564"/>
      <c r="FVE4" s="564"/>
      <c r="FVF4" s="564"/>
      <c r="FVG4" s="564"/>
      <c r="FVH4" s="564"/>
      <c r="FVI4" s="564"/>
      <c r="FVJ4" s="564"/>
      <c r="FVK4" s="564"/>
      <c r="FVL4" s="564"/>
      <c r="FVM4" s="564"/>
      <c r="FVN4" s="564"/>
      <c r="FVO4" s="564"/>
      <c r="FVP4" s="564"/>
      <c r="FVQ4" s="564"/>
      <c r="FVR4" s="564"/>
      <c r="FVS4" s="564"/>
      <c r="FVT4" s="564"/>
      <c r="FVU4" s="564"/>
      <c r="FVV4" s="564"/>
      <c r="FVW4" s="564"/>
      <c r="FVX4" s="564"/>
      <c r="FVY4" s="564"/>
      <c r="FVZ4" s="564"/>
      <c r="FWA4" s="564"/>
      <c r="FWB4" s="564"/>
      <c r="FWC4" s="564"/>
      <c r="FWD4" s="564"/>
      <c r="FWE4" s="564"/>
      <c r="FWF4" s="564"/>
      <c r="FWG4" s="564"/>
      <c r="FWH4" s="564"/>
      <c r="FWI4" s="564"/>
      <c r="FWJ4" s="564"/>
      <c r="FWK4" s="564"/>
      <c r="FWL4" s="564"/>
      <c r="FWM4" s="564"/>
      <c r="FWN4" s="564"/>
      <c r="FWO4" s="564"/>
      <c r="FWP4" s="564"/>
      <c r="FWQ4" s="564"/>
      <c r="FWR4" s="564"/>
      <c r="FWS4" s="564"/>
      <c r="FWT4" s="564"/>
      <c r="FWU4" s="564"/>
      <c r="FWV4" s="564"/>
      <c r="FWW4" s="564"/>
      <c r="FWX4" s="564"/>
      <c r="FWY4" s="564"/>
      <c r="FWZ4" s="564"/>
      <c r="FXA4" s="564"/>
      <c r="FXB4" s="564"/>
      <c r="FXC4" s="564"/>
      <c r="FXD4" s="564"/>
      <c r="FXE4" s="564"/>
      <c r="FXF4" s="564"/>
      <c r="FXG4" s="564"/>
      <c r="FXH4" s="564"/>
      <c r="FXI4" s="564"/>
      <c r="FXJ4" s="564"/>
      <c r="FXK4" s="564"/>
      <c r="FXL4" s="564"/>
      <c r="FXM4" s="564"/>
      <c r="FXN4" s="564"/>
      <c r="FXO4" s="564"/>
      <c r="FXP4" s="564"/>
      <c r="FXQ4" s="564"/>
      <c r="FXR4" s="564"/>
      <c r="FXS4" s="564"/>
      <c r="FXT4" s="564"/>
      <c r="FXU4" s="564"/>
      <c r="FXV4" s="564"/>
      <c r="FXW4" s="564"/>
      <c r="FXX4" s="564"/>
      <c r="FXY4" s="564"/>
      <c r="FXZ4" s="564"/>
      <c r="FYA4" s="564"/>
      <c r="FYB4" s="564"/>
      <c r="FYC4" s="564"/>
      <c r="FYD4" s="564"/>
      <c r="FYE4" s="564"/>
      <c r="FYF4" s="564"/>
      <c r="FYG4" s="564"/>
      <c r="FYH4" s="564"/>
      <c r="FYI4" s="564"/>
      <c r="FYJ4" s="564"/>
      <c r="FYK4" s="564"/>
      <c r="FYL4" s="564"/>
      <c r="FYM4" s="564"/>
      <c r="FYN4" s="564"/>
      <c r="FYO4" s="564"/>
      <c r="FYP4" s="564"/>
      <c r="FYQ4" s="564"/>
      <c r="FYR4" s="564"/>
      <c r="FYS4" s="564"/>
      <c r="FYT4" s="564"/>
      <c r="FYU4" s="564"/>
      <c r="FYV4" s="564"/>
      <c r="FYW4" s="564"/>
      <c r="FYX4" s="564"/>
      <c r="FYY4" s="564"/>
      <c r="FYZ4" s="564"/>
      <c r="FZA4" s="564"/>
      <c r="FZB4" s="564"/>
      <c r="FZC4" s="564"/>
      <c r="FZD4" s="564"/>
      <c r="FZE4" s="564"/>
      <c r="FZF4" s="564"/>
      <c r="FZG4" s="564"/>
      <c r="FZH4" s="564"/>
      <c r="FZI4" s="564"/>
      <c r="FZJ4" s="564"/>
      <c r="FZK4" s="564"/>
      <c r="FZL4" s="564"/>
      <c r="FZM4" s="564"/>
      <c r="FZN4" s="564"/>
      <c r="FZO4" s="564"/>
      <c r="FZP4" s="564"/>
      <c r="FZQ4" s="564"/>
      <c r="FZR4" s="564"/>
      <c r="FZS4" s="564"/>
      <c r="FZT4" s="564"/>
      <c r="FZU4" s="564"/>
      <c r="FZV4" s="564"/>
      <c r="FZW4" s="564"/>
      <c r="FZX4" s="564"/>
      <c r="FZY4" s="564"/>
      <c r="FZZ4" s="564"/>
      <c r="GAA4" s="564"/>
      <c r="GAB4" s="564"/>
      <c r="GAC4" s="564"/>
      <c r="GAD4" s="564"/>
      <c r="GAE4" s="564"/>
      <c r="GAF4" s="564"/>
      <c r="GAG4" s="564"/>
      <c r="GAH4" s="564"/>
      <c r="GAI4" s="564"/>
      <c r="GAJ4" s="564"/>
      <c r="GAK4" s="564"/>
      <c r="GAL4" s="564"/>
      <c r="GAM4" s="564"/>
      <c r="GAN4" s="564"/>
      <c r="GAO4" s="564"/>
      <c r="GAP4" s="564"/>
      <c r="GAQ4" s="564"/>
      <c r="GAR4" s="564"/>
      <c r="GAS4" s="564"/>
      <c r="GAT4" s="564"/>
      <c r="GAU4" s="564"/>
      <c r="GAV4" s="564"/>
      <c r="GAW4" s="564"/>
      <c r="GAX4" s="564"/>
      <c r="GAY4" s="564"/>
      <c r="GAZ4" s="564"/>
      <c r="GBA4" s="564"/>
      <c r="GBB4" s="564"/>
      <c r="GBC4" s="564"/>
      <c r="GBD4" s="564"/>
      <c r="GBE4" s="564"/>
      <c r="GBF4" s="564"/>
      <c r="GBG4" s="564"/>
      <c r="GBH4" s="564"/>
      <c r="GBI4" s="564"/>
      <c r="GBJ4" s="564"/>
      <c r="GBK4" s="564"/>
      <c r="GBL4" s="564"/>
      <c r="GBM4" s="564"/>
      <c r="GBN4" s="564"/>
      <c r="GBO4" s="564"/>
      <c r="GBP4" s="564"/>
      <c r="GBQ4" s="564"/>
      <c r="GBR4" s="564"/>
      <c r="GBS4" s="564"/>
      <c r="GBT4" s="564"/>
      <c r="GBU4" s="564"/>
      <c r="GBV4" s="564"/>
      <c r="GBW4" s="564"/>
      <c r="GBX4" s="564"/>
      <c r="GBY4" s="564"/>
      <c r="GBZ4" s="564"/>
      <c r="GCA4" s="564"/>
      <c r="GCB4" s="564"/>
      <c r="GCC4" s="564"/>
      <c r="GCD4" s="564"/>
      <c r="GCE4" s="564"/>
      <c r="GCF4" s="564"/>
      <c r="GCG4" s="564"/>
      <c r="GCH4" s="564"/>
      <c r="GCI4" s="564"/>
      <c r="GCJ4" s="564"/>
      <c r="GCK4" s="564"/>
      <c r="GCL4" s="564"/>
      <c r="GCM4" s="564"/>
      <c r="GCN4" s="564"/>
      <c r="GCO4" s="564"/>
      <c r="GCP4" s="564"/>
      <c r="GCQ4" s="564"/>
      <c r="GCR4" s="564"/>
      <c r="GCS4" s="564"/>
      <c r="GCT4" s="564"/>
      <c r="GCU4" s="564"/>
      <c r="GCV4" s="564"/>
      <c r="GCW4" s="564"/>
      <c r="GCX4" s="564"/>
      <c r="GCY4" s="564"/>
      <c r="GCZ4" s="564"/>
      <c r="GDA4" s="564"/>
      <c r="GDB4" s="564"/>
      <c r="GDC4" s="564"/>
      <c r="GDD4" s="564"/>
      <c r="GDE4" s="564"/>
      <c r="GDF4" s="564"/>
      <c r="GDG4" s="564"/>
      <c r="GDH4" s="564"/>
      <c r="GDI4" s="564"/>
      <c r="GDJ4" s="564"/>
      <c r="GDK4" s="564"/>
      <c r="GDL4" s="564"/>
      <c r="GDM4" s="564"/>
      <c r="GDN4" s="564"/>
      <c r="GDO4" s="564"/>
      <c r="GDP4" s="564"/>
      <c r="GDQ4" s="564"/>
      <c r="GDR4" s="564"/>
      <c r="GDS4" s="564"/>
      <c r="GDT4" s="564"/>
      <c r="GDU4" s="564"/>
      <c r="GDV4" s="564"/>
      <c r="GDW4" s="564"/>
      <c r="GDX4" s="564"/>
      <c r="GDY4" s="564"/>
      <c r="GDZ4" s="564"/>
      <c r="GEA4" s="564"/>
      <c r="GEB4" s="564"/>
      <c r="GEC4" s="564"/>
      <c r="GED4" s="564"/>
      <c r="GEE4" s="564"/>
      <c r="GEF4" s="564"/>
      <c r="GEG4" s="564"/>
      <c r="GEH4" s="564"/>
      <c r="GEI4" s="564"/>
      <c r="GEJ4" s="564"/>
      <c r="GEK4" s="564"/>
      <c r="GEL4" s="564"/>
      <c r="GEM4" s="564"/>
      <c r="GEN4" s="564"/>
      <c r="GEO4" s="564"/>
      <c r="GEP4" s="564"/>
      <c r="GEQ4" s="564"/>
      <c r="GER4" s="564"/>
      <c r="GES4" s="564"/>
      <c r="GET4" s="564"/>
      <c r="GEU4" s="564"/>
      <c r="GEV4" s="564"/>
      <c r="GEW4" s="564"/>
      <c r="GEX4" s="564"/>
      <c r="GEY4" s="564"/>
      <c r="GEZ4" s="564"/>
      <c r="GFA4" s="564"/>
      <c r="GFB4" s="564"/>
      <c r="GFC4" s="564"/>
      <c r="GFD4" s="564"/>
      <c r="GFE4" s="564"/>
      <c r="GFF4" s="564"/>
      <c r="GFG4" s="564"/>
      <c r="GFH4" s="564"/>
      <c r="GFI4" s="564"/>
      <c r="GFJ4" s="564"/>
      <c r="GFK4" s="564"/>
      <c r="GFL4" s="564"/>
      <c r="GFM4" s="564"/>
      <c r="GFN4" s="564"/>
      <c r="GFO4" s="564"/>
      <c r="GFP4" s="564"/>
      <c r="GFQ4" s="564"/>
      <c r="GFR4" s="564"/>
      <c r="GFS4" s="564"/>
      <c r="GFT4" s="564"/>
      <c r="GFU4" s="564"/>
      <c r="GFV4" s="564"/>
      <c r="GFW4" s="564"/>
      <c r="GFX4" s="564"/>
      <c r="GFY4" s="564"/>
      <c r="GFZ4" s="564"/>
      <c r="GGA4" s="564"/>
      <c r="GGB4" s="564"/>
      <c r="GGC4" s="564"/>
      <c r="GGD4" s="564"/>
      <c r="GGE4" s="564"/>
      <c r="GGF4" s="564"/>
      <c r="GGG4" s="564"/>
      <c r="GGH4" s="564"/>
      <c r="GGI4" s="564"/>
      <c r="GGJ4" s="564"/>
      <c r="GGK4" s="564"/>
      <c r="GGL4" s="564"/>
      <c r="GGM4" s="564"/>
      <c r="GGN4" s="564"/>
      <c r="GGO4" s="564"/>
      <c r="GGP4" s="564"/>
      <c r="GGQ4" s="564"/>
      <c r="GGR4" s="564"/>
      <c r="GGS4" s="564"/>
      <c r="GGT4" s="564"/>
      <c r="GGU4" s="564"/>
      <c r="GGV4" s="564"/>
      <c r="GGW4" s="564"/>
      <c r="GGX4" s="564"/>
      <c r="GGY4" s="564"/>
      <c r="GGZ4" s="564"/>
      <c r="GHA4" s="564"/>
      <c r="GHB4" s="564"/>
      <c r="GHC4" s="564"/>
      <c r="GHD4" s="564"/>
      <c r="GHE4" s="564"/>
      <c r="GHF4" s="564"/>
      <c r="GHG4" s="564"/>
      <c r="GHH4" s="564"/>
      <c r="GHI4" s="564"/>
      <c r="GHJ4" s="564"/>
      <c r="GHK4" s="564"/>
      <c r="GHL4" s="564"/>
      <c r="GHM4" s="564"/>
      <c r="GHN4" s="564"/>
      <c r="GHO4" s="564"/>
      <c r="GHP4" s="564"/>
      <c r="GHQ4" s="564"/>
      <c r="GHR4" s="564"/>
      <c r="GHS4" s="564"/>
      <c r="GHT4" s="564"/>
      <c r="GHU4" s="564"/>
      <c r="GHV4" s="564"/>
      <c r="GHW4" s="564"/>
      <c r="GHX4" s="564"/>
      <c r="GHY4" s="564"/>
      <c r="GHZ4" s="564"/>
      <c r="GIA4" s="564"/>
      <c r="GIB4" s="564"/>
      <c r="GIC4" s="564"/>
      <c r="GID4" s="564"/>
      <c r="GIE4" s="564"/>
      <c r="GIF4" s="564"/>
      <c r="GIG4" s="564"/>
      <c r="GIH4" s="564"/>
      <c r="GII4" s="564"/>
      <c r="GIJ4" s="564"/>
      <c r="GIK4" s="564"/>
      <c r="GIL4" s="564"/>
      <c r="GIM4" s="564"/>
      <c r="GIN4" s="564"/>
      <c r="GIO4" s="564"/>
      <c r="GIP4" s="564"/>
      <c r="GIQ4" s="564"/>
      <c r="GIR4" s="564"/>
      <c r="GIS4" s="564"/>
      <c r="GIT4" s="564"/>
      <c r="GIU4" s="564"/>
      <c r="GIV4" s="564"/>
      <c r="GIW4" s="564"/>
      <c r="GIX4" s="564"/>
      <c r="GIY4" s="564"/>
      <c r="GIZ4" s="564"/>
      <c r="GJA4" s="564"/>
      <c r="GJB4" s="564"/>
      <c r="GJC4" s="564"/>
      <c r="GJD4" s="564"/>
      <c r="GJE4" s="564"/>
      <c r="GJF4" s="564"/>
      <c r="GJG4" s="564"/>
      <c r="GJH4" s="564"/>
      <c r="GJI4" s="564"/>
      <c r="GJJ4" s="564"/>
      <c r="GJK4" s="564"/>
      <c r="GJL4" s="564"/>
      <c r="GJM4" s="564"/>
      <c r="GJN4" s="564"/>
      <c r="GJO4" s="564"/>
      <c r="GJP4" s="564"/>
      <c r="GJQ4" s="564"/>
      <c r="GJR4" s="564"/>
      <c r="GJS4" s="564"/>
      <c r="GJT4" s="564"/>
      <c r="GJU4" s="564"/>
      <c r="GJV4" s="564"/>
      <c r="GJW4" s="564"/>
      <c r="GJX4" s="564"/>
      <c r="GJY4" s="564"/>
      <c r="GJZ4" s="564"/>
      <c r="GKA4" s="564"/>
      <c r="GKB4" s="564"/>
      <c r="GKC4" s="564"/>
      <c r="GKD4" s="564"/>
      <c r="GKE4" s="564"/>
      <c r="GKF4" s="564"/>
      <c r="GKG4" s="564"/>
      <c r="GKH4" s="564"/>
      <c r="GKI4" s="564"/>
      <c r="GKJ4" s="564"/>
      <c r="GKK4" s="564"/>
      <c r="GKL4" s="564"/>
      <c r="GKM4" s="564"/>
      <c r="GKN4" s="564"/>
      <c r="GKO4" s="564"/>
      <c r="GKP4" s="564"/>
      <c r="GKQ4" s="564"/>
      <c r="GKR4" s="564"/>
      <c r="GKS4" s="564"/>
      <c r="GKT4" s="564"/>
      <c r="GKU4" s="564"/>
      <c r="GKV4" s="564"/>
      <c r="GKW4" s="564"/>
      <c r="GKX4" s="564"/>
      <c r="GKY4" s="564"/>
      <c r="GKZ4" s="564"/>
      <c r="GLA4" s="564"/>
      <c r="GLB4" s="564"/>
      <c r="GLC4" s="564"/>
      <c r="GLD4" s="564"/>
      <c r="GLE4" s="564"/>
      <c r="GLF4" s="564"/>
      <c r="GLG4" s="564"/>
      <c r="GLH4" s="564"/>
      <c r="GLI4" s="564"/>
      <c r="GLJ4" s="564"/>
      <c r="GLK4" s="564"/>
      <c r="GLL4" s="564"/>
      <c r="GLM4" s="564"/>
      <c r="GLN4" s="564"/>
      <c r="GLO4" s="564"/>
      <c r="GLP4" s="564"/>
      <c r="GLQ4" s="564"/>
      <c r="GLR4" s="564"/>
      <c r="GLS4" s="564"/>
      <c r="GLT4" s="564"/>
      <c r="GLU4" s="564"/>
      <c r="GLV4" s="564"/>
      <c r="GLW4" s="564"/>
      <c r="GLX4" s="564"/>
      <c r="GLY4" s="564"/>
      <c r="GLZ4" s="564"/>
      <c r="GMA4" s="564"/>
      <c r="GMB4" s="564"/>
      <c r="GMC4" s="564"/>
      <c r="GMD4" s="564"/>
      <c r="GME4" s="564"/>
      <c r="GMF4" s="564"/>
      <c r="GMG4" s="564"/>
      <c r="GMH4" s="564"/>
      <c r="GMI4" s="564"/>
      <c r="GMJ4" s="564"/>
      <c r="GMK4" s="564"/>
      <c r="GML4" s="564"/>
      <c r="GMM4" s="564"/>
      <c r="GMN4" s="564"/>
      <c r="GMO4" s="564"/>
      <c r="GMP4" s="564"/>
      <c r="GMQ4" s="564"/>
      <c r="GMR4" s="564"/>
      <c r="GMS4" s="564"/>
      <c r="GMT4" s="564"/>
      <c r="GMU4" s="564"/>
      <c r="GMV4" s="564"/>
      <c r="GMW4" s="564"/>
      <c r="GMX4" s="564"/>
      <c r="GMY4" s="564"/>
      <c r="GMZ4" s="564"/>
      <c r="GNA4" s="564"/>
      <c r="GNB4" s="564"/>
      <c r="GNC4" s="564"/>
      <c r="GND4" s="564"/>
      <c r="GNE4" s="564"/>
      <c r="GNF4" s="564"/>
      <c r="GNG4" s="564"/>
      <c r="GNH4" s="564"/>
      <c r="GNI4" s="564"/>
      <c r="GNJ4" s="564"/>
      <c r="GNK4" s="564"/>
      <c r="GNL4" s="564"/>
      <c r="GNM4" s="564"/>
      <c r="GNN4" s="564"/>
      <c r="GNO4" s="564"/>
      <c r="GNP4" s="564"/>
      <c r="GNQ4" s="564"/>
      <c r="GNR4" s="564"/>
      <c r="GNS4" s="564"/>
      <c r="GNT4" s="564"/>
      <c r="GNU4" s="564"/>
      <c r="GNV4" s="564"/>
      <c r="GNW4" s="564"/>
      <c r="GNX4" s="564"/>
      <c r="GNY4" s="564"/>
      <c r="GNZ4" s="564"/>
      <c r="GOA4" s="564"/>
      <c r="GOB4" s="564"/>
      <c r="GOC4" s="564"/>
      <c r="GOD4" s="564"/>
      <c r="GOE4" s="564"/>
      <c r="GOF4" s="564"/>
      <c r="GOG4" s="564"/>
      <c r="GOH4" s="564"/>
      <c r="GOI4" s="564"/>
      <c r="GOJ4" s="564"/>
      <c r="GOK4" s="564"/>
      <c r="GOL4" s="564"/>
      <c r="GOM4" s="564"/>
      <c r="GON4" s="564"/>
      <c r="GOO4" s="564"/>
      <c r="GOP4" s="564"/>
      <c r="GOQ4" s="564"/>
      <c r="GOR4" s="564"/>
      <c r="GOS4" s="564"/>
      <c r="GOT4" s="564"/>
      <c r="GOU4" s="564"/>
      <c r="GOV4" s="564"/>
      <c r="GOW4" s="564"/>
      <c r="GOX4" s="564"/>
      <c r="GOY4" s="564"/>
      <c r="GOZ4" s="564"/>
      <c r="GPA4" s="564"/>
      <c r="GPB4" s="564"/>
      <c r="GPC4" s="564"/>
      <c r="GPD4" s="564"/>
      <c r="GPE4" s="564"/>
      <c r="GPF4" s="564"/>
      <c r="GPG4" s="564"/>
      <c r="GPH4" s="564"/>
      <c r="GPI4" s="564"/>
      <c r="GPJ4" s="564"/>
      <c r="GPK4" s="564"/>
      <c r="GPL4" s="564"/>
      <c r="GPM4" s="564"/>
      <c r="GPN4" s="564"/>
      <c r="GPO4" s="564"/>
      <c r="GPP4" s="564"/>
      <c r="GPQ4" s="564"/>
      <c r="GPR4" s="564"/>
      <c r="GPS4" s="564"/>
      <c r="GPT4" s="564"/>
      <c r="GPU4" s="564"/>
      <c r="GPV4" s="564"/>
      <c r="GPW4" s="564"/>
      <c r="GPX4" s="564"/>
      <c r="GPY4" s="564"/>
      <c r="GPZ4" s="564"/>
      <c r="GQA4" s="564"/>
      <c r="GQB4" s="564"/>
      <c r="GQC4" s="564"/>
      <c r="GQD4" s="564"/>
      <c r="GQE4" s="564"/>
      <c r="GQF4" s="564"/>
      <c r="GQG4" s="564"/>
      <c r="GQH4" s="564"/>
      <c r="GQI4" s="564"/>
      <c r="GQJ4" s="564"/>
      <c r="GQK4" s="564"/>
      <c r="GQL4" s="564"/>
      <c r="GQM4" s="564"/>
      <c r="GQN4" s="564"/>
      <c r="GQO4" s="564"/>
      <c r="GQP4" s="564"/>
      <c r="GQQ4" s="564"/>
      <c r="GQR4" s="564"/>
      <c r="GQS4" s="564"/>
      <c r="GQT4" s="564"/>
      <c r="GQU4" s="564"/>
      <c r="GQV4" s="564"/>
      <c r="GQW4" s="564"/>
      <c r="GQX4" s="564"/>
      <c r="GQY4" s="564"/>
      <c r="GQZ4" s="564"/>
      <c r="GRA4" s="564"/>
      <c r="GRB4" s="564"/>
      <c r="GRC4" s="564"/>
      <c r="GRD4" s="564"/>
      <c r="GRE4" s="564"/>
      <c r="GRF4" s="564"/>
      <c r="GRG4" s="564"/>
      <c r="GRH4" s="564"/>
      <c r="GRI4" s="564"/>
      <c r="GRJ4" s="564"/>
      <c r="GRK4" s="564"/>
      <c r="GRL4" s="564"/>
      <c r="GRM4" s="564"/>
      <c r="GRN4" s="564"/>
      <c r="GRO4" s="564"/>
      <c r="GRP4" s="564"/>
      <c r="GRQ4" s="564"/>
      <c r="GRR4" s="564"/>
      <c r="GRS4" s="564"/>
      <c r="GRT4" s="564"/>
      <c r="GRU4" s="564"/>
      <c r="GRV4" s="564"/>
      <c r="GRW4" s="564"/>
      <c r="GRX4" s="564"/>
      <c r="GRY4" s="564"/>
      <c r="GRZ4" s="564"/>
      <c r="GSA4" s="564"/>
      <c r="GSB4" s="564"/>
      <c r="GSC4" s="564"/>
      <c r="GSD4" s="564"/>
      <c r="GSE4" s="564"/>
      <c r="GSF4" s="564"/>
      <c r="GSG4" s="564"/>
      <c r="GSH4" s="564"/>
      <c r="GSI4" s="564"/>
      <c r="GSJ4" s="564"/>
      <c r="GSK4" s="564"/>
      <c r="GSL4" s="564"/>
      <c r="GSM4" s="564"/>
      <c r="GSN4" s="564"/>
      <c r="GSO4" s="564"/>
      <c r="GSP4" s="564"/>
      <c r="GSQ4" s="564"/>
      <c r="GSR4" s="564"/>
      <c r="GSS4" s="564"/>
      <c r="GST4" s="564"/>
      <c r="GSU4" s="564"/>
      <c r="GSV4" s="564"/>
      <c r="GSW4" s="564"/>
      <c r="GSX4" s="564"/>
      <c r="GSY4" s="564"/>
      <c r="GSZ4" s="564"/>
      <c r="GTA4" s="564"/>
      <c r="GTB4" s="564"/>
      <c r="GTC4" s="564"/>
      <c r="GTD4" s="564"/>
      <c r="GTE4" s="564"/>
      <c r="GTF4" s="564"/>
      <c r="GTG4" s="564"/>
      <c r="GTH4" s="564"/>
      <c r="GTI4" s="564"/>
      <c r="GTJ4" s="564"/>
      <c r="GTK4" s="564"/>
      <c r="GTL4" s="564"/>
      <c r="GTM4" s="564"/>
      <c r="GTN4" s="564"/>
      <c r="GTO4" s="564"/>
      <c r="GTP4" s="564"/>
      <c r="GTQ4" s="564"/>
      <c r="GTR4" s="564"/>
      <c r="GTS4" s="564"/>
      <c r="GTT4" s="564"/>
      <c r="GTU4" s="564"/>
      <c r="GTV4" s="564"/>
      <c r="GTW4" s="564"/>
      <c r="GTX4" s="564"/>
      <c r="GTY4" s="564"/>
      <c r="GTZ4" s="564"/>
      <c r="GUA4" s="564"/>
      <c r="GUB4" s="564"/>
      <c r="GUC4" s="564"/>
      <c r="GUD4" s="564"/>
      <c r="GUE4" s="564"/>
      <c r="GUF4" s="564"/>
      <c r="GUG4" s="564"/>
      <c r="GUH4" s="564"/>
      <c r="GUI4" s="564"/>
      <c r="GUJ4" s="564"/>
      <c r="GUK4" s="564"/>
      <c r="GUL4" s="564"/>
      <c r="GUM4" s="564"/>
      <c r="GUN4" s="564"/>
      <c r="GUO4" s="564"/>
      <c r="GUP4" s="564"/>
      <c r="GUQ4" s="564"/>
      <c r="GUR4" s="564"/>
      <c r="GUS4" s="564"/>
      <c r="GUT4" s="564"/>
      <c r="GUU4" s="564"/>
      <c r="GUV4" s="564"/>
      <c r="GUW4" s="564"/>
      <c r="GUX4" s="564"/>
      <c r="GUY4" s="564"/>
      <c r="GUZ4" s="564"/>
      <c r="GVA4" s="564"/>
      <c r="GVB4" s="564"/>
      <c r="GVC4" s="564"/>
      <c r="GVD4" s="564"/>
      <c r="GVE4" s="564"/>
      <c r="GVF4" s="564"/>
      <c r="GVG4" s="564"/>
      <c r="GVH4" s="564"/>
      <c r="GVI4" s="564"/>
      <c r="GVJ4" s="564"/>
      <c r="GVK4" s="564"/>
      <c r="GVL4" s="564"/>
      <c r="GVM4" s="564"/>
      <c r="GVN4" s="564"/>
      <c r="GVO4" s="564"/>
      <c r="GVP4" s="564"/>
      <c r="GVQ4" s="564"/>
      <c r="GVR4" s="564"/>
      <c r="GVS4" s="564"/>
      <c r="GVT4" s="564"/>
      <c r="GVU4" s="564"/>
      <c r="GVV4" s="564"/>
      <c r="GVW4" s="564"/>
      <c r="GVX4" s="564"/>
      <c r="GVY4" s="564"/>
      <c r="GVZ4" s="564"/>
      <c r="GWA4" s="564"/>
      <c r="GWB4" s="564"/>
      <c r="GWC4" s="564"/>
      <c r="GWD4" s="564"/>
      <c r="GWE4" s="564"/>
      <c r="GWF4" s="564"/>
      <c r="GWG4" s="564"/>
      <c r="GWH4" s="564"/>
      <c r="GWI4" s="564"/>
      <c r="GWJ4" s="564"/>
      <c r="GWK4" s="564"/>
      <c r="GWL4" s="564"/>
      <c r="GWM4" s="564"/>
      <c r="GWN4" s="564"/>
      <c r="GWO4" s="564"/>
      <c r="GWP4" s="564"/>
      <c r="GWQ4" s="564"/>
      <c r="GWR4" s="564"/>
      <c r="GWS4" s="564"/>
      <c r="GWT4" s="564"/>
      <c r="GWU4" s="564"/>
      <c r="GWV4" s="564"/>
      <c r="GWW4" s="564"/>
      <c r="GWX4" s="564"/>
      <c r="GWY4" s="564"/>
      <c r="GWZ4" s="564"/>
      <c r="GXA4" s="564"/>
      <c r="GXB4" s="564"/>
      <c r="GXC4" s="564"/>
      <c r="GXD4" s="564"/>
      <c r="GXE4" s="564"/>
      <c r="GXF4" s="564"/>
      <c r="GXG4" s="564"/>
      <c r="GXH4" s="564"/>
      <c r="GXI4" s="564"/>
      <c r="GXJ4" s="564"/>
      <c r="GXK4" s="564"/>
      <c r="GXL4" s="564"/>
      <c r="GXM4" s="564"/>
      <c r="GXN4" s="564"/>
      <c r="GXO4" s="564"/>
      <c r="GXP4" s="564"/>
      <c r="GXQ4" s="564"/>
      <c r="GXR4" s="564"/>
      <c r="GXS4" s="564"/>
      <c r="GXT4" s="564"/>
      <c r="GXU4" s="564"/>
      <c r="GXV4" s="564"/>
      <c r="GXW4" s="564"/>
      <c r="GXX4" s="564"/>
      <c r="GXY4" s="564"/>
      <c r="GXZ4" s="564"/>
      <c r="GYA4" s="564"/>
      <c r="GYB4" s="564"/>
      <c r="GYC4" s="564"/>
      <c r="GYD4" s="564"/>
      <c r="GYE4" s="564"/>
      <c r="GYF4" s="564"/>
      <c r="GYG4" s="564"/>
      <c r="GYH4" s="564"/>
      <c r="GYI4" s="564"/>
      <c r="GYJ4" s="564"/>
      <c r="GYK4" s="564"/>
      <c r="GYL4" s="564"/>
      <c r="GYM4" s="564"/>
      <c r="GYN4" s="564"/>
      <c r="GYO4" s="564"/>
      <c r="GYP4" s="564"/>
      <c r="GYQ4" s="564"/>
      <c r="GYR4" s="564"/>
      <c r="GYS4" s="564"/>
      <c r="GYT4" s="564"/>
      <c r="GYU4" s="564"/>
      <c r="GYV4" s="564"/>
      <c r="GYW4" s="564"/>
      <c r="GYX4" s="564"/>
      <c r="GYY4" s="564"/>
      <c r="GYZ4" s="564"/>
      <c r="GZA4" s="564"/>
      <c r="GZB4" s="564"/>
      <c r="GZC4" s="564"/>
      <c r="GZD4" s="564"/>
      <c r="GZE4" s="564"/>
      <c r="GZF4" s="564"/>
      <c r="GZG4" s="564"/>
      <c r="GZH4" s="564"/>
      <c r="GZI4" s="564"/>
      <c r="GZJ4" s="564"/>
      <c r="GZK4" s="564"/>
      <c r="GZL4" s="564"/>
      <c r="GZM4" s="564"/>
      <c r="GZN4" s="564"/>
      <c r="GZO4" s="564"/>
      <c r="GZP4" s="564"/>
      <c r="GZQ4" s="564"/>
      <c r="GZR4" s="564"/>
      <c r="GZS4" s="564"/>
      <c r="GZT4" s="564"/>
      <c r="GZU4" s="564"/>
      <c r="GZV4" s="564"/>
      <c r="GZW4" s="564"/>
      <c r="GZX4" s="564"/>
      <c r="GZY4" s="564"/>
      <c r="GZZ4" s="564"/>
      <c r="HAA4" s="564"/>
      <c r="HAB4" s="564"/>
      <c r="HAC4" s="564"/>
      <c r="HAD4" s="564"/>
      <c r="HAE4" s="564"/>
      <c r="HAF4" s="564"/>
      <c r="HAG4" s="564"/>
      <c r="HAH4" s="564"/>
      <c r="HAI4" s="564"/>
      <c r="HAJ4" s="564"/>
      <c r="HAK4" s="564"/>
      <c r="HAL4" s="564"/>
      <c r="HAM4" s="564"/>
      <c r="HAN4" s="564"/>
      <c r="HAO4" s="564"/>
      <c r="HAP4" s="564"/>
      <c r="HAQ4" s="564"/>
      <c r="HAR4" s="564"/>
      <c r="HAS4" s="564"/>
      <c r="HAT4" s="564"/>
      <c r="HAU4" s="564"/>
      <c r="HAV4" s="564"/>
      <c r="HAW4" s="564"/>
      <c r="HAX4" s="564"/>
      <c r="HAY4" s="564"/>
      <c r="HAZ4" s="564"/>
      <c r="HBA4" s="564"/>
      <c r="HBB4" s="564"/>
      <c r="HBC4" s="564"/>
      <c r="HBD4" s="564"/>
      <c r="HBE4" s="564"/>
      <c r="HBF4" s="564"/>
      <c r="HBG4" s="564"/>
      <c r="HBH4" s="564"/>
      <c r="HBI4" s="564"/>
      <c r="HBJ4" s="564"/>
      <c r="HBK4" s="564"/>
      <c r="HBL4" s="564"/>
      <c r="HBM4" s="564"/>
      <c r="HBN4" s="564"/>
      <c r="HBO4" s="564"/>
      <c r="HBP4" s="564"/>
      <c r="HBQ4" s="564"/>
      <c r="HBR4" s="564"/>
      <c r="HBS4" s="564"/>
      <c r="HBT4" s="564"/>
      <c r="HBU4" s="564"/>
      <c r="HBV4" s="564"/>
      <c r="HBW4" s="564"/>
      <c r="HBX4" s="564"/>
      <c r="HBY4" s="564"/>
      <c r="HBZ4" s="564"/>
      <c r="HCA4" s="564"/>
      <c r="HCB4" s="564"/>
      <c r="HCC4" s="564"/>
      <c r="HCD4" s="564"/>
      <c r="HCE4" s="564"/>
      <c r="HCF4" s="564"/>
      <c r="HCG4" s="564"/>
      <c r="HCH4" s="564"/>
      <c r="HCI4" s="564"/>
      <c r="HCJ4" s="564"/>
      <c r="HCK4" s="564"/>
      <c r="HCL4" s="564"/>
      <c r="HCM4" s="564"/>
      <c r="HCN4" s="564"/>
      <c r="HCO4" s="564"/>
      <c r="HCP4" s="564"/>
      <c r="HCQ4" s="564"/>
      <c r="HCR4" s="564"/>
      <c r="HCS4" s="564"/>
      <c r="HCT4" s="564"/>
      <c r="HCU4" s="564"/>
      <c r="HCV4" s="564"/>
      <c r="HCW4" s="564"/>
      <c r="HCX4" s="564"/>
      <c r="HCY4" s="564"/>
      <c r="HCZ4" s="564"/>
      <c r="HDA4" s="564"/>
      <c r="HDB4" s="564"/>
      <c r="HDC4" s="564"/>
      <c r="HDD4" s="564"/>
      <c r="HDE4" s="564"/>
      <c r="HDF4" s="564"/>
      <c r="HDG4" s="564"/>
      <c r="HDH4" s="564"/>
      <c r="HDI4" s="564"/>
      <c r="HDJ4" s="564"/>
      <c r="HDK4" s="564"/>
      <c r="HDL4" s="564"/>
      <c r="HDM4" s="564"/>
      <c r="HDN4" s="564"/>
      <c r="HDO4" s="564"/>
      <c r="HDP4" s="564"/>
      <c r="HDQ4" s="564"/>
      <c r="HDR4" s="564"/>
      <c r="HDS4" s="564"/>
      <c r="HDT4" s="564"/>
      <c r="HDU4" s="564"/>
      <c r="HDV4" s="564"/>
      <c r="HDW4" s="564"/>
      <c r="HDX4" s="564"/>
      <c r="HDY4" s="564"/>
      <c r="HDZ4" s="564"/>
      <c r="HEA4" s="564"/>
      <c r="HEB4" s="564"/>
      <c r="HEC4" s="564"/>
      <c r="HED4" s="564"/>
      <c r="HEE4" s="564"/>
      <c r="HEF4" s="564"/>
      <c r="HEG4" s="564"/>
      <c r="HEH4" s="564"/>
      <c r="HEI4" s="564"/>
      <c r="HEJ4" s="564"/>
      <c r="HEK4" s="564"/>
      <c r="HEL4" s="564"/>
      <c r="HEM4" s="564"/>
      <c r="HEN4" s="564"/>
      <c r="HEO4" s="564"/>
      <c r="HEP4" s="564"/>
      <c r="HEQ4" s="564"/>
      <c r="HER4" s="564"/>
      <c r="HES4" s="564"/>
      <c r="HET4" s="564"/>
      <c r="HEU4" s="564"/>
      <c r="HEV4" s="564"/>
      <c r="HEW4" s="564"/>
      <c r="HEX4" s="564"/>
      <c r="HEY4" s="564"/>
      <c r="HEZ4" s="564"/>
      <c r="HFA4" s="564"/>
      <c r="HFB4" s="564"/>
      <c r="HFC4" s="564"/>
      <c r="HFD4" s="564"/>
      <c r="HFE4" s="564"/>
      <c r="HFF4" s="564"/>
      <c r="HFG4" s="564"/>
      <c r="HFH4" s="564"/>
      <c r="HFI4" s="564"/>
      <c r="HFJ4" s="564"/>
      <c r="HFK4" s="564"/>
      <c r="HFL4" s="564"/>
      <c r="HFM4" s="564"/>
      <c r="HFN4" s="564"/>
      <c r="HFO4" s="564"/>
      <c r="HFP4" s="564"/>
      <c r="HFQ4" s="564"/>
      <c r="HFR4" s="564"/>
      <c r="HFS4" s="564"/>
      <c r="HFT4" s="564"/>
      <c r="HFU4" s="564"/>
      <c r="HFV4" s="564"/>
      <c r="HFW4" s="564"/>
      <c r="HFX4" s="564"/>
      <c r="HFY4" s="564"/>
      <c r="HFZ4" s="564"/>
      <c r="HGA4" s="564"/>
      <c r="HGB4" s="564"/>
      <c r="HGC4" s="564"/>
      <c r="HGD4" s="564"/>
      <c r="HGE4" s="564"/>
      <c r="HGF4" s="564"/>
      <c r="HGG4" s="564"/>
      <c r="HGH4" s="564"/>
      <c r="HGI4" s="564"/>
      <c r="HGJ4" s="564"/>
      <c r="HGK4" s="564"/>
      <c r="HGL4" s="564"/>
      <c r="HGM4" s="564"/>
      <c r="HGN4" s="564"/>
      <c r="HGO4" s="564"/>
      <c r="HGP4" s="564"/>
      <c r="HGQ4" s="564"/>
      <c r="HGR4" s="564"/>
      <c r="HGS4" s="564"/>
      <c r="HGT4" s="564"/>
      <c r="HGU4" s="564"/>
      <c r="HGV4" s="564"/>
      <c r="HGW4" s="564"/>
      <c r="HGX4" s="564"/>
      <c r="HGY4" s="564"/>
      <c r="HGZ4" s="564"/>
      <c r="HHA4" s="564"/>
      <c r="HHB4" s="564"/>
      <c r="HHC4" s="564"/>
      <c r="HHD4" s="564"/>
      <c r="HHE4" s="564"/>
      <c r="HHF4" s="564"/>
      <c r="HHG4" s="564"/>
      <c r="HHH4" s="564"/>
      <c r="HHI4" s="564"/>
      <c r="HHJ4" s="564"/>
      <c r="HHK4" s="564"/>
      <c r="HHL4" s="564"/>
      <c r="HHM4" s="564"/>
      <c r="HHN4" s="564"/>
      <c r="HHO4" s="564"/>
      <c r="HHP4" s="564"/>
      <c r="HHQ4" s="564"/>
      <c r="HHR4" s="564"/>
      <c r="HHS4" s="564"/>
      <c r="HHT4" s="564"/>
      <c r="HHU4" s="564"/>
      <c r="HHV4" s="564"/>
      <c r="HHW4" s="564"/>
      <c r="HHX4" s="564"/>
      <c r="HHY4" s="564"/>
      <c r="HHZ4" s="564"/>
      <c r="HIA4" s="564"/>
      <c r="HIB4" s="564"/>
      <c r="HIC4" s="564"/>
      <c r="HID4" s="564"/>
      <c r="HIE4" s="564"/>
      <c r="HIF4" s="564"/>
      <c r="HIG4" s="564"/>
      <c r="HIH4" s="564"/>
      <c r="HII4" s="564"/>
      <c r="HIJ4" s="564"/>
      <c r="HIK4" s="564"/>
      <c r="HIL4" s="564"/>
      <c r="HIM4" s="564"/>
      <c r="HIN4" s="564"/>
      <c r="HIO4" s="564"/>
      <c r="HIP4" s="564"/>
      <c r="HIQ4" s="564"/>
      <c r="HIR4" s="564"/>
      <c r="HIS4" s="564"/>
      <c r="HIT4" s="564"/>
      <c r="HIU4" s="564"/>
      <c r="HIV4" s="564"/>
      <c r="HIW4" s="564"/>
      <c r="HIX4" s="564"/>
      <c r="HIY4" s="564"/>
      <c r="HIZ4" s="564"/>
      <c r="HJA4" s="564"/>
      <c r="HJB4" s="564"/>
      <c r="HJC4" s="564"/>
      <c r="HJD4" s="564"/>
      <c r="HJE4" s="564"/>
      <c r="HJF4" s="564"/>
      <c r="HJG4" s="564"/>
      <c r="HJH4" s="564"/>
      <c r="HJI4" s="564"/>
      <c r="HJJ4" s="564"/>
      <c r="HJK4" s="564"/>
      <c r="HJL4" s="564"/>
      <c r="HJM4" s="564"/>
      <c r="HJN4" s="564"/>
      <c r="HJO4" s="564"/>
      <c r="HJP4" s="564"/>
      <c r="HJQ4" s="564"/>
      <c r="HJR4" s="564"/>
      <c r="HJS4" s="564"/>
      <c r="HJT4" s="564"/>
      <c r="HJU4" s="564"/>
      <c r="HJV4" s="564"/>
      <c r="HJW4" s="564"/>
      <c r="HJX4" s="564"/>
      <c r="HJY4" s="564"/>
      <c r="HJZ4" s="564"/>
      <c r="HKA4" s="564"/>
      <c r="HKB4" s="564"/>
      <c r="HKC4" s="564"/>
      <c r="HKD4" s="564"/>
      <c r="HKE4" s="564"/>
      <c r="HKF4" s="564"/>
      <c r="HKG4" s="564"/>
      <c r="HKH4" s="564"/>
      <c r="HKI4" s="564"/>
      <c r="HKJ4" s="564"/>
      <c r="HKK4" s="564"/>
      <c r="HKL4" s="564"/>
      <c r="HKM4" s="564"/>
      <c r="HKN4" s="564"/>
      <c r="HKO4" s="564"/>
      <c r="HKP4" s="564"/>
      <c r="HKQ4" s="564"/>
      <c r="HKR4" s="564"/>
      <c r="HKS4" s="564"/>
      <c r="HKT4" s="564"/>
      <c r="HKU4" s="564"/>
      <c r="HKV4" s="564"/>
      <c r="HKW4" s="564"/>
      <c r="HKX4" s="564"/>
      <c r="HKY4" s="564"/>
      <c r="HKZ4" s="564"/>
      <c r="HLA4" s="564"/>
      <c r="HLB4" s="564"/>
      <c r="HLC4" s="564"/>
      <c r="HLD4" s="564"/>
      <c r="HLE4" s="564"/>
      <c r="HLF4" s="564"/>
      <c r="HLG4" s="564"/>
      <c r="HLH4" s="564"/>
      <c r="HLI4" s="564"/>
      <c r="HLJ4" s="564"/>
      <c r="HLK4" s="564"/>
      <c r="HLL4" s="564"/>
      <c r="HLM4" s="564"/>
      <c r="HLN4" s="564"/>
      <c r="HLO4" s="564"/>
      <c r="HLP4" s="564"/>
      <c r="HLQ4" s="564"/>
      <c r="HLR4" s="564"/>
      <c r="HLS4" s="564"/>
      <c r="HLT4" s="564"/>
      <c r="HLU4" s="564"/>
      <c r="HLV4" s="564"/>
      <c r="HLW4" s="564"/>
      <c r="HLX4" s="564"/>
      <c r="HLY4" s="564"/>
      <c r="HLZ4" s="564"/>
      <c r="HMA4" s="564"/>
      <c r="HMB4" s="564"/>
      <c r="HMC4" s="564"/>
      <c r="HMD4" s="564"/>
      <c r="HME4" s="564"/>
      <c r="HMF4" s="564"/>
      <c r="HMG4" s="564"/>
      <c r="HMH4" s="564"/>
      <c r="HMI4" s="564"/>
      <c r="HMJ4" s="564"/>
      <c r="HMK4" s="564"/>
      <c r="HML4" s="564"/>
      <c r="HMM4" s="564"/>
      <c r="HMN4" s="564"/>
      <c r="HMO4" s="564"/>
      <c r="HMP4" s="564"/>
      <c r="HMQ4" s="564"/>
      <c r="HMR4" s="564"/>
      <c r="HMS4" s="564"/>
      <c r="HMT4" s="564"/>
      <c r="HMU4" s="564"/>
      <c r="HMV4" s="564"/>
      <c r="HMW4" s="564"/>
      <c r="HMX4" s="564"/>
      <c r="HMY4" s="564"/>
      <c r="HMZ4" s="564"/>
      <c r="HNA4" s="564"/>
      <c r="HNB4" s="564"/>
      <c r="HNC4" s="564"/>
      <c r="HND4" s="564"/>
      <c r="HNE4" s="564"/>
      <c r="HNF4" s="564"/>
      <c r="HNG4" s="564"/>
      <c r="HNH4" s="564"/>
      <c r="HNI4" s="564"/>
      <c r="HNJ4" s="564"/>
      <c r="HNK4" s="564"/>
      <c r="HNL4" s="564"/>
      <c r="HNM4" s="564"/>
      <c r="HNN4" s="564"/>
      <c r="HNO4" s="564"/>
      <c r="HNP4" s="564"/>
      <c r="HNQ4" s="564"/>
      <c r="HNR4" s="564"/>
      <c r="HNS4" s="564"/>
      <c r="HNT4" s="564"/>
      <c r="HNU4" s="564"/>
      <c r="HNV4" s="564"/>
      <c r="HNW4" s="564"/>
      <c r="HNX4" s="564"/>
      <c r="HNY4" s="564"/>
      <c r="HNZ4" s="564"/>
      <c r="HOA4" s="564"/>
      <c r="HOB4" s="564"/>
      <c r="HOC4" s="564"/>
      <c r="HOD4" s="564"/>
      <c r="HOE4" s="564"/>
      <c r="HOF4" s="564"/>
      <c r="HOG4" s="564"/>
      <c r="HOH4" s="564"/>
      <c r="HOI4" s="564"/>
      <c r="HOJ4" s="564"/>
      <c r="HOK4" s="564"/>
      <c r="HOL4" s="564"/>
      <c r="HOM4" s="564"/>
      <c r="HON4" s="564"/>
      <c r="HOO4" s="564"/>
      <c r="HOP4" s="564"/>
      <c r="HOQ4" s="564"/>
      <c r="HOR4" s="564"/>
      <c r="HOS4" s="564"/>
      <c r="HOT4" s="564"/>
      <c r="HOU4" s="564"/>
      <c r="HOV4" s="564"/>
      <c r="HOW4" s="564"/>
      <c r="HOX4" s="564"/>
      <c r="HOY4" s="564"/>
      <c r="HOZ4" s="564"/>
      <c r="HPA4" s="564"/>
      <c r="HPB4" s="564"/>
      <c r="HPC4" s="564"/>
      <c r="HPD4" s="564"/>
      <c r="HPE4" s="564"/>
      <c r="HPF4" s="564"/>
      <c r="HPG4" s="564"/>
      <c r="HPH4" s="564"/>
      <c r="HPI4" s="564"/>
      <c r="HPJ4" s="564"/>
      <c r="HPK4" s="564"/>
      <c r="HPL4" s="564"/>
      <c r="HPM4" s="564"/>
      <c r="HPN4" s="564"/>
      <c r="HPO4" s="564"/>
      <c r="HPP4" s="564"/>
      <c r="HPQ4" s="564"/>
      <c r="HPR4" s="564"/>
      <c r="HPS4" s="564"/>
      <c r="HPT4" s="564"/>
      <c r="HPU4" s="564"/>
      <c r="HPV4" s="564"/>
      <c r="HPW4" s="564"/>
      <c r="HPX4" s="564"/>
      <c r="HPY4" s="564"/>
      <c r="HPZ4" s="564"/>
      <c r="HQA4" s="564"/>
      <c r="HQB4" s="564"/>
      <c r="HQC4" s="564"/>
      <c r="HQD4" s="564"/>
      <c r="HQE4" s="564"/>
      <c r="HQF4" s="564"/>
      <c r="HQG4" s="564"/>
      <c r="HQH4" s="564"/>
      <c r="HQI4" s="564"/>
      <c r="HQJ4" s="564"/>
      <c r="HQK4" s="564"/>
      <c r="HQL4" s="564"/>
      <c r="HQM4" s="564"/>
      <c r="HQN4" s="564"/>
      <c r="HQO4" s="564"/>
      <c r="HQP4" s="564"/>
      <c r="HQQ4" s="564"/>
      <c r="HQR4" s="564"/>
      <c r="HQS4" s="564"/>
      <c r="HQT4" s="564"/>
      <c r="HQU4" s="564"/>
      <c r="HQV4" s="564"/>
      <c r="HQW4" s="564"/>
      <c r="HQX4" s="564"/>
      <c r="HQY4" s="564"/>
      <c r="HQZ4" s="564"/>
      <c r="HRA4" s="564"/>
      <c r="HRB4" s="564"/>
      <c r="HRC4" s="564"/>
      <c r="HRD4" s="564"/>
      <c r="HRE4" s="564"/>
      <c r="HRF4" s="564"/>
      <c r="HRG4" s="564"/>
      <c r="HRH4" s="564"/>
      <c r="HRI4" s="564"/>
      <c r="HRJ4" s="564"/>
      <c r="HRK4" s="564"/>
      <c r="HRL4" s="564"/>
      <c r="HRM4" s="564"/>
      <c r="HRN4" s="564"/>
      <c r="HRO4" s="564"/>
      <c r="HRP4" s="564"/>
      <c r="HRQ4" s="564"/>
      <c r="HRR4" s="564"/>
      <c r="HRS4" s="564"/>
      <c r="HRT4" s="564"/>
      <c r="HRU4" s="564"/>
      <c r="HRV4" s="564"/>
      <c r="HRW4" s="564"/>
      <c r="HRX4" s="564"/>
      <c r="HRY4" s="564"/>
      <c r="HRZ4" s="564"/>
      <c r="HSA4" s="564"/>
      <c r="HSB4" s="564"/>
      <c r="HSC4" s="564"/>
      <c r="HSD4" s="564"/>
      <c r="HSE4" s="564"/>
      <c r="HSF4" s="564"/>
      <c r="HSG4" s="564"/>
      <c r="HSH4" s="564"/>
      <c r="HSI4" s="564"/>
      <c r="HSJ4" s="564"/>
      <c r="HSK4" s="564"/>
      <c r="HSL4" s="564"/>
      <c r="HSM4" s="564"/>
      <c r="HSN4" s="564"/>
      <c r="HSO4" s="564"/>
      <c r="HSP4" s="564"/>
      <c r="HSQ4" s="564"/>
      <c r="HSR4" s="564"/>
      <c r="HSS4" s="564"/>
      <c r="HST4" s="564"/>
      <c r="HSU4" s="564"/>
      <c r="HSV4" s="564"/>
      <c r="HSW4" s="564"/>
      <c r="HSX4" s="564"/>
      <c r="HSY4" s="564"/>
      <c r="HSZ4" s="564"/>
      <c r="HTA4" s="564"/>
      <c r="HTB4" s="564"/>
      <c r="HTC4" s="564"/>
      <c r="HTD4" s="564"/>
      <c r="HTE4" s="564"/>
      <c r="HTF4" s="564"/>
      <c r="HTG4" s="564"/>
      <c r="HTH4" s="564"/>
      <c r="HTI4" s="564"/>
      <c r="HTJ4" s="564"/>
      <c r="HTK4" s="564"/>
      <c r="HTL4" s="564"/>
      <c r="HTM4" s="564"/>
      <c r="HTN4" s="564"/>
      <c r="HTO4" s="564"/>
      <c r="HTP4" s="564"/>
      <c r="HTQ4" s="564"/>
      <c r="HTR4" s="564"/>
      <c r="HTS4" s="564"/>
      <c r="HTT4" s="564"/>
      <c r="HTU4" s="564"/>
      <c r="HTV4" s="564"/>
      <c r="HTW4" s="564"/>
      <c r="HTX4" s="564"/>
      <c r="HTY4" s="564"/>
      <c r="HTZ4" s="564"/>
      <c r="HUA4" s="564"/>
      <c r="HUB4" s="564"/>
      <c r="HUC4" s="564"/>
      <c r="HUD4" s="564"/>
      <c r="HUE4" s="564"/>
      <c r="HUF4" s="564"/>
      <c r="HUG4" s="564"/>
      <c r="HUH4" s="564"/>
      <c r="HUI4" s="564"/>
      <c r="HUJ4" s="564"/>
      <c r="HUK4" s="564"/>
      <c r="HUL4" s="564"/>
      <c r="HUM4" s="564"/>
      <c r="HUN4" s="564"/>
      <c r="HUO4" s="564"/>
      <c r="HUP4" s="564"/>
      <c r="HUQ4" s="564"/>
      <c r="HUR4" s="564"/>
      <c r="HUS4" s="564"/>
      <c r="HUT4" s="564"/>
      <c r="HUU4" s="564"/>
      <c r="HUV4" s="564"/>
      <c r="HUW4" s="564"/>
      <c r="HUX4" s="564"/>
      <c r="HUY4" s="564"/>
      <c r="HUZ4" s="564"/>
      <c r="HVA4" s="564"/>
      <c r="HVB4" s="564"/>
      <c r="HVC4" s="564"/>
      <c r="HVD4" s="564"/>
      <c r="HVE4" s="564"/>
      <c r="HVF4" s="564"/>
      <c r="HVG4" s="564"/>
      <c r="HVH4" s="564"/>
      <c r="HVI4" s="564"/>
      <c r="HVJ4" s="564"/>
      <c r="HVK4" s="564"/>
      <c r="HVL4" s="564"/>
      <c r="HVM4" s="564"/>
      <c r="HVN4" s="564"/>
      <c r="HVO4" s="564"/>
      <c r="HVP4" s="564"/>
      <c r="HVQ4" s="564"/>
      <c r="HVR4" s="564"/>
      <c r="HVS4" s="564"/>
      <c r="HVT4" s="564"/>
      <c r="HVU4" s="564"/>
      <c r="HVV4" s="564"/>
      <c r="HVW4" s="564"/>
      <c r="HVX4" s="564"/>
      <c r="HVY4" s="564"/>
      <c r="HVZ4" s="564"/>
      <c r="HWA4" s="564"/>
      <c r="HWB4" s="564"/>
      <c r="HWC4" s="564"/>
      <c r="HWD4" s="564"/>
      <c r="HWE4" s="564"/>
      <c r="HWF4" s="564"/>
      <c r="HWG4" s="564"/>
      <c r="HWH4" s="564"/>
      <c r="HWI4" s="564"/>
      <c r="HWJ4" s="564"/>
      <c r="HWK4" s="564"/>
      <c r="HWL4" s="564"/>
      <c r="HWM4" s="564"/>
      <c r="HWN4" s="564"/>
      <c r="HWO4" s="564"/>
      <c r="HWP4" s="564"/>
      <c r="HWQ4" s="564"/>
      <c r="HWR4" s="564"/>
      <c r="HWS4" s="564"/>
      <c r="HWT4" s="564"/>
      <c r="HWU4" s="564"/>
      <c r="HWV4" s="564"/>
      <c r="HWW4" s="564"/>
      <c r="HWX4" s="564"/>
      <c r="HWY4" s="564"/>
      <c r="HWZ4" s="564"/>
      <c r="HXA4" s="564"/>
      <c r="HXB4" s="564"/>
      <c r="HXC4" s="564"/>
      <c r="HXD4" s="564"/>
      <c r="HXE4" s="564"/>
      <c r="HXF4" s="564"/>
      <c r="HXG4" s="564"/>
      <c r="HXH4" s="564"/>
      <c r="HXI4" s="564"/>
      <c r="HXJ4" s="564"/>
      <c r="HXK4" s="564"/>
      <c r="HXL4" s="564"/>
      <c r="HXM4" s="564"/>
      <c r="HXN4" s="564"/>
      <c r="HXO4" s="564"/>
      <c r="HXP4" s="564"/>
      <c r="HXQ4" s="564"/>
      <c r="HXR4" s="564"/>
      <c r="HXS4" s="564"/>
      <c r="HXT4" s="564"/>
      <c r="HXU4" s="564"/>
      <c r="HXV4" s="564"/>
      <c r="HXW4" s="564"/>
      <c r="HXX4" s="564"/>
      <c r="HXY4" s="564"/>
      <c r="HXZ4" s="564"/>
      <c r="HYA4" s="564"/>
      <c r="HYB4" s="564"/>
      <c r="HYC4" s="564"/>
      <c r="HYD4" s="564"/>
      <c r="HYE4" s="564"/>
      <c r="HYF4" s="564"/>
      <c r="HYG4" s="564"/>
      <c r="HYH4" s="564"/>
      <c r="HYI4" s="564"/>
      <c r="HYJ4" s="564"/>
      <c r="HYK4" s="564"/>
      <c r="HYL4" s="564"/>
      <c r="HYM4" s="564"/>
      <c r="HYN4" s="564"/>
      <c r="HYO4" s="564"/>
      <c r="HYP4" s="564"/>
      <c r="HYQ4" s="564"/>
      <c r="HYR4" s="564"/>
      <c r="HYS4" s="564"/>
      <c r="HYT4" s="564"/>
      <c r="HYU4" s="564"/>
      <c r="HYV4" s="564"/>
      <c r="HYW4" s="564"/>
      <c r="HYX4" s="564"/>
      <c r="HYY4" s="564"/>
      <c r="HYZ4" s="564"/>
      <c r="HZA4" s="564"/>
      <c r="HZB4" s="564"/>
      <c r="HZC4" s="564"/>
      <c r="HZD4" s="564"/>
      <c r="HZE4" s="564"/>
      <c r="HZF4" s="564"/>
      <c r="HZG4" s="564"/>
      <c r="HZH4" s="564"/>
      <c r="HZI4" s="564"/>
      <c r="HZJ4" s="564"/>
      <c r="HZK4" s="564"/>
      <c r="HZL4" s="564"/>
      <c r="HZM4" s="564"/>
      <c r="HZN4" s="564"/>
      <c r="HZO4" s="564"/>
      <c r="HZP4" s="564"/>
      <c r="HZQ4" s="564"/>
      <c r="HZR4" s="564"/>
      <c r="HZS4" s="564"/>
      <c r="HZT4" s="564"/>
      <c r="HZU4" s="564"/>
      <c r="HZV4" s="564"/>
      <c r="HZW4" s="564"/>
      <c r="HZX4" s="564"/>
      <c r="HZY4" s="564"/>
      <c r="HZZ4" s="564"/>
      <c r="IAA4" s="564"/>
      <c r="IAB4" s="564"/>
      <c r="IAC4" s="564"/>
      <c r="IAD4" s="564"/>
      <c r="IAE4" s="564"/>
      <c r="IAF4" s="564"/>
      <c r="IAG4" s="564"/>
      <c r="IAH4" s="564"/>
      <c r="IAI4" s="564"/>
      <c r="IAJ4" s="564"/>
      <c r="IAK4" s="564"/>
      <c r="IAL4" s="564"/>
      <c r="IAM4" s="564"/>
      <c r="IAN4" s="564"/>
      <c r="IAO4" s="564"/>
      <c r="IAP4" s="564"/>
      <c r="IAQ4" s="564"/>
      <c r="IAR4" s="564"/>
      <c r="IAS4" s="564"/>
      <c r="IAT4" s="564"/>
      <c r="IAU4" s="564"/>
      <c r="IAV4" s="564"/>
      <c r="IAW4" s="564"/>
      <c r="IAX4" s="564"/>
      <c r="IAY4" s="564"/>
      <c r="IAZ4" s="564"/>
      <c r="IBA4" s="564"/>
      <c r="IBB4" s="564"/>
      <c r="IBC4" s="564"/>
      <c r="IBD4" s="564"/>
      <c r="IBE4" s="564"/>
      <c r="IBF4" s="564"/>
      <c r="IBG4" s="564"/>
      <c r="IBH4" s="564"/>
      <c r="IBI4" s="564"/>
      <c r="IBJ4" s="564"/>
      <c r="IBK4" s="564"/>
      <c r="IBL4" s="564"/>
      <c r="IBM4" s="564"/>
      <c r="IBN4" s="564"/>
      <c r="IBO4" s="564"/>
      <c r="IBP4" s="564"/>
      <c r="IBQ4" s="564"/>
      <c r="IBR4" s="564"/>
      <c r="IBS4" s="564"/>
      <c r="IBT4" s="564"/>
      <c r="IBU4" s="564"/>
      <c r="IBV4" s="564"/>
      <c r="IBW4" s="564"/>
      <c r="IBX4" s="564"/>
      <c r="IBY4" s="564"/>
      <c r="IBZ4" s="564"/>
      <c r="ICA4" s="564"/>
      <c r="ICB4" s="564"/>
      <c r="ICC4" s="564"/>
      <c r="ICD4" s="564"/>
      <c r="ICE4" s="564"/>
      <c r="ICF4" s="564"/>
      <c r="ICG4" s="564"/>
      <c r="ICH4" s="564"/>
      <c r="ICI4" s="564"/>
      <c r="ICJ4" s="564"/>
      <c r="ICK4" s="564"/>
      <c r="ICL4" s="564"/>
      <c r="ICM4" s="564"/>
      <c r="ICN4" s="564"/>
      <c r="ICO4" s="564"/>
      <c r="ICP4" s="564"/>
      <c r="ICQ4" s="564"/>
      <c r="ICR4" s="564"/>
      <c r="ICS4" s="564"/>
      <c r="ICT4" s="564"/>
      <c r="ICU4" s="564"/>
      <c r="ICV4" s="564"/>
      <c r="ICW4" s="564"/>
      <c r="ICX4" s="564"/>
      <c r="ICY4" s="564"/>
      <c r="ICZ4" s="564"/>
      <c r="IDA4" s="564"/>
      <c r="IDB4" s="564"/>
      <c r="IDC4" s="564"/>
      <c r="IDD4" s="564"/>
      <c r="IDE4" s="564"/>
      <c r="IDF4" s="564"/>
      <c r="IDG4" s="564"/>
      <c r="IDH4" s="564"/>
      <c r="IDI4" s="564"/>
      <c r="IDJ4" s="564"/>
      <c r="IDK4" s="564"/>
      <c r="IDL4" s="564"/>
      <c r="IDM4" s="564"/>
      <c r="IDN4" s="564"/>
      <c r="IDO4" s="564"/>
      <c r="IDP4" s="564"/>
      <c r="IDQ4" s="564"/>
      <c r="IDR4" s="564"/>
      <c r="IDS4" s="564"/>
      <c r="IDT4" s="564"/>
      <c r="IDU4" s="564"/>
      <c r="IDV4" s="564"/>
      <c r="IDW4" s="564"/>
      <c r="IDX4" s="564"/>
      <c r="IDY4" s="564"/>
      <c r="IDZ4" s="564"/>
      <c r="IEA4" s="564"/>
      <c r="IEB4" s="564"/>
      <c r="IEC4" s="564"/>
      <c r="IED4" s="564"/>
      <c r="IEE4" s="564"/>
      <c r="IEF4" s="564"/>
      <c r="IEG4" s="564"/>
      <c r="IEH4" s="564"/>
      <c r="IEI4" s="564"/>
      <c r="IEJ4" s="564"/>
      <c r="IEK4" s="564"/>
      <c r="IEL4" s="564"/>
      <c r="IEM4" s="564"/>
      <c r="IEN4" s="564"/>
      <c r="IEO4" s="564"/>
      <c r="IEP4" s="564"/>
      <c r="IEQ4" s="564"/>
      <c r="IER4" s="564"/>
      <c r="IES4" s="564"/>
      <c r="IET4" s="564"/>
      <c r="IEU4" s="564"/>
      <c r="IEV4" s="564"/>
      <c r="IEW4" s="564"/>
      <c r="IEX4" s="564"/>
      <c r="IEY4" s="564"/>
      <c r="IEZ4" s="564"/>
      <c r="IFA4" s="564"/>
      <c r="IFB4" s="564"/>
      <c r="IFC4" s="564"/>
      <c r="IFD4" s="564"/>
      <c r="IFE4" s="564"/>
      <c r="IFF4" s="564"/>
      <c r="IFG4" s="564"/>
      <c r="IFH4" s="564"/>
      <c r="IFI4" s="564"/>
      <c r="IFJ4" s="564"/>
      <c r="IFK4" s="564"/>
      <c r="IFL4" s="564"/>
      <c r="IFM4" s="564"/>
      <c r="IFN4" s="564"/>
      <c r="IFO4" s="564"/>
      <c r="IFP4" s="564"/>
      <c r="IFQ4" s="564"/>
      <c r="IFR4" s="564"/>
      <c r="IFS4" s="564"/>
      <c r="IFT4" s="564"/>
      <c r="IFU4" s="564"/>
      <c r="IFV4" s="564"/>
      <c r="IFW4" s="564"/>
      <c r="IFX4" s="564"/>
      <c r="IFY4" s="564"/>
      <c r="IFZ4" s="564"/>
      <c r="IGA4" s="564"/>
      <c r="IGB4" s="564"/>
      <c r="IGC4" s="564"/>
      <c r="IGD4" s="564"/>
      <c r="IGE4" s="564"/>
      <c r="IGF4" s="564"/>
      <c r="IGG4" s="564"/>
      <c r="IGH4" s="564"/>
      <c r="IGI4" s="564"/>
      <c r="IGJ4" s="564"/>
      <c r="IGK4" s="564"/>
      <c r="IGL4" s="564"/>
      <c r="IGM4" s="564"/>
      <c r="IGN4" s="564"/>
      <c r="IGO4" s="564"/>
      <c r="IGP4" s="564"/>
      <c r="IGQ4" s="564"/>
      <c r="IGR4" s="564"/>
      <c r="IGS4" s="564"/>
      <c r="IGT4" s="564"/>
      <c r="IGU4" s="564"/>
      <c r="IGV4" s="564"/>
      <c r="IGW4" s="564"/>
      <c r="IGX4" s="564"/>
      <c r="IGY4" s="564"/>
      <c r="IGZ4" s="564"/>
      <c r="IHA4" s="564"/>
      <c r="IHB4" s="564"/>
      <c r="IHC4" s="564"/>
      <c r="IHD4" s="564"/>
      <c r="IHE4" s="564"/>
      <c r="IHF4" s="564"/>
      <c r="IHG4" s="564"/>
      <c r="IHH4" s="564"/>
      <c r="IHI4" s="564"/>
      <c r="IHJ4" s="564"/>
      <c r="IHK4" s="564"/>
      <c r="IHL4" s="564"/>
      <c r="IHM4" s="564"/>
      <c r="IHN4" s="564"/>
      <c r="IHO4" s="564"/>
      <c r="IHP4" s="564"/>
      <c r="IHQ4" s="564"/>
      <c r="IHR4" s="564"/>
      <c r="IHS4" s="564"/>
      <c r="IHT4" s="564"/>
      <c r="IHU4" s="564"/>
      <c r="IHV4" s="564"/>
      <c r="IHW4" s="564"/>
      <c r="IHX4" s="564"/>
      <c r="IHY4" s="564"/>
      <c r="IHZ4" s="564"/>
      <c r="IIA4" s="564"/>
      <c r="IIB4" s="564"/>
      <c r="IIC4" s="564"/>
      <c r="IID4" s="564"/>
      <c r="IIE4" s="564"/>
      <c r="IIF4" s="564"/>
      <c r="IIG4" s="564"/>
      <c r="IIH4" s="564"/>
      <c r="III4" s="564"/>
      <c r="IIJ4" s="564"/>
      <c r="IIK4" s="564"/>
      <c r="IIL4" s="564"/>
      <c r="IIM4" s="564"/>
      <c r="IIN4" s="564"/>
      <c r="IIO4" s="564"/>
      <c r="IIP4" s="564"/>
      <c r="IIQ4" s="564"/>
      <c r="IIR4" s="564"/>
      <c r="IIS4" s="564"/>
      <c r="IIT4" s="564"/>
      <c r="IIU4" s="564"/>
      <c r="IIV4" s="564"/>
      <c r="IIW4" s="564"/>
      <c r="IIX4" s="564"/>
      <c r="IIY4" s="564"/>
      <c r="IIZ4" s="564"/>
      <c r="IJA4" s="564"/>
      <c r="IJB4" s="564"/>
      <c r="IJC4" s="564"/>
      <c r="IJD4" s="564"/>
      <c r="IJE4" s="564"/>
      <c r="IJF4" s="564"/>
      <c r="IJG4" s="564"/>
      <c r="IJH4" s="564"/>
      <c r="IJI4" s="564"/>
      <c r="IJJ4" s="564"/>
      <c r="IJK4" s="564"/>
      <c r="IJL4" s="564"/>
      <c r="IJM4" s="564"/>
      <c r="IJN4" s="564"/>
      <c r="IJO4" s="564"/>
      <c r="IJP4" s="564"/>
      <c r="IJQ4" s="564"/>
      <c r="IJR4" s="564"/>
      <c r="IJS4" s="564"/>
      <c r="IJT4" s="564"/>
      <c r="IJU4" s="564"/>
      <c r="IJV4" s="564"/>
      <c r="IJW4" s="564"/>
      <c r="IJX4" s="564"/>
      <c r="IJY4" s="564"/>
      <c r="IJZ4" s="564"/>
      <c r="IKA4" s="564"/>
      <c r="IKB4" s="564"/>
      <c r="IKC4" s="564"/>
      <c r="IKD4" s="564"/>
      <c r="IKE4" s="564"/>
      <c r="IKF4" s="564"/>
      <c r="IKG4" s="564"/>
      <c r="IKH4" s="564"/>
      <c r="IKI4" s="564"/>
      <c r="IKJ4" s="564"/>
      <c r="IKK4" s="564"/>
      <c r="IKL4" s="564"/>
      <c r="IKM4" s="564"/>
      <c r="IKN4" s="564"/>
      <c r="IKO4" s="564"/>
      <c r="IKP4" s="564"/>
      <c r="IKQ4" s="564"/>
      <c r="IKR4" s="564"/>
      <c r="IKS4" s="564"/>
      <c r="IKT4" s="564"/>
      <c r="IKU4" s="564"/>
      <c r="IKV4" s="564"/>
      <c r="IKW4" s="564"/>
      <c r="IKX4" s="564"/>
      <c r="IKY4" s="564"/>
      <c r="IKZ4" s="564"/>
      <c r="ILA4" s="564"/>
      <c r="ILB4" s="564"/>
      <c r="ILC4" s="564"/>
      <c r="ILD4" s="564"/>
      <c r="ILE4" s="564"/>
      <c r="ILF4" s="564"/>
      <c r="ILG4" s="564"/>
      <c r="ILH4" s="564"/>
      <c r="ILI4" s="564"/>
      <c r="ILJ4" s="564"/>
      <c r="ILK4" s="564"/>
      <c r="ILL4" s="564"/>
      <c r="ILM4" s="564"/>
      <c r="ILN4" s="564"/>
      <c r="ILO4" s="564"/>
      <c r="ILP4" s="564"/>
      <c r="ILQ4" s="564"/>
      <c r="ILR4" s="564"/>
      <c r="ILS4" s="564"/>
      <c r="ILT4" s="564"/>
      <c r="ILU4" s="564"/>
      <c r="ILV4" s="564"/>
      <c r="ILW4" s="564"/>
      <c r="ILX4" s="564"/>
      <c r="ILY4" s="564"/>
      <c r="ILZ4" s="564"/>
      <c r="IMA4" s="564"/>
      <c r="IMB4" s="564"/>
      <c r="IMC4" s="564"/>
      <c r="IMD4" s="564"/>
      <c r="IME4" s="564"/>
      <c r="IMF4" s="564"/>
      <c r="IMG4" s="564"/>
      <c r="IMH4" s="564"/>
      <c r="IMI4" s="564"/>
      <c r="IMJ4" s="564"/>
      <c r="IMK4" s="564"/>
      <c r="IML4" s="564"/>
      <c r="IMM4" s="564"/>
      <c r="IMN4" s="564"/>
      <c r="IMO4" s="564"/>
      <c r="IMP4" s="564"/>
      <c r="IMQ4" s="564"/>
      <c r="IMR4" s="564"/>
      <c r="IMS4" s="564"/>
      <c r="IMT4" s="564"/>
      <c r="IMU4" s="564"/>
      <c r="IMV4" s="564"/>
      <c r="IMW4" s="564"/>
      <c r="IMX4" s="564"/>
      <c r="IMY4" s="564"/>
      <c r="IMZ4" s="564"/>
      <c r="INA4" s="564"/>
      <c r="INB4" s="564"/>
      <c r="INC4" s="564"/>
      <c r="IND4" s="564"/>
      <c r="INE4" s="564"/>
      <c r="INF4" s="564"/>
      <c r="ING4" s="564"/>
      <c r="INH4" s="564"/>
      <c r="INI4" s="564"/>
      <c r="INJ4" s="564"/>
      <c r="INK4" s="564"/>
      <c r="INL4" s="564"/>
      <c r="INM4" s="564"/>
      <c r="INN4" s="564"/>
      <c r="INO4" s="564"/>
      <c r="INP4" s="564"/>
      <c r="INQ4" s="564"/>
      <c r="INR4" s="564"/>
      <c r="INS4" s="564"/>
      <c r="INT4" s="564"/>
      <c r="INU4" s="564"/>
      <c r="INV4" s="564"/>
      <c r="INW4" s="564"/>
      <c r="INX4" s="564"/>
      <c r="INY4" s="564"/>
      <c r="INZ4" s="564"/>
      <c r="IOA4" s="564"/>
      <c r="IOB4" s="564"/>
      <c r="IOC4" s="564"/>
      <c r="IOD4" s="564"/>
      <c r="IOE4" s="564"/>
      <c r="IOF4" s="564"/>
      <c r="IOG4" s="564"/>
      <c r="IOH4" s="564"/>
      <c r="IOI4" s="564"/>
      <c r="IOJ4" s="564"/>
      <c r="IOK4" s="564"/>
      <c r="IOL4" s="564"/>
      <c r="IOM4" s="564"/>
      <c r="ION4" s="564"/>
      <c r="IOO4" s="564"/>
      <c r="IOP4" s="564"/>
      <c r="IOQ4" s="564"/>
      <c r="IOR4" s="564"/>
      <c r="IOS4" s="564"/>
      <c r="IOT4" s="564"/>
      <c r="IOU4" s="564"/>
      <c r="IOV4" s="564"/>
      <c r="IOW4" s="564"/>
      <c r="IOX4" s="564"/>
      <c r="IOY4" s="564"/>
      <c r="IOZ4" s="564"/>
      <c r="IPA4" s="564"/>
      <c r="IPB4" s="564"/>
      <c r="IPC4" s="564"/>
      <c r="IPD4" s="564"/>
      <c r="IPE4" s="564"/>
      <c r="IPF4" s="564"/>
      <c r="IPG4" s="564"/>
      <c r="IPH4" s="564"/>
      <c r="IPI4" s="564"/>
      <c r="IPJ4" s="564"/>
      <c r="IPK4" s="564"/>
      <c r="IPL4" s="564"/>
      <c r="IPM4" s="564"/>
      <c r="IPN4" s="564"/>
      <c r="IPO4" s="564"/>
      <c r="IPP4" s="564"/>
      <c r="IPQ4" s="564"/>
      <c r="IPR4" s="564"/>
      <c r="IPS4" s="564"/>
      <c r="IPT4" s="564"/>
      <c r="IPU4" s="564"/>
      <c r="IPV4" s="564"/>
      <c r="IPW4" s="564"/>
      <c r="IPX4" s="564"/>
      <c r="IPY4" s="564"/>
      <c r="IPZ4" s="564"/>
      <c r="IQA4" s="564"/>
      <c r="IQB4" s="564"/>
      <c r="IQC4" s="564"/>
      <c r="IQD4" s="564"/>
      <c r="IQE4" s="564"/>
      <c r="IQF4" s="564"/>
      <c r="IQG4" s="564"/>
      <c r="IQH4" s="564"/>
      <c r="IQI4" s="564"/>
      <c r="IQJ4" s="564"/>
      <c r="IQK4" s="564"/>
      <c r="IQL4" s="564"/>
      <c r="IQM4" s="564"/>
      <c r="IQN4" s="564"/>
      <c r="IQO4" s="564"/>
      <c r="IQP4" s="564"/>
      <c r="IQQ4" s="564"/>
      <c r="IQR4" s="564"/>
      <c r="IQS4" s="564"/>
      <c r="IQT4" s="564"/>
      <c r="IQU4" s="564"/>
      <c r="IQV4" s="564"/>
      <c r="IQW4" s="564"/>
      <c r="IQX4" s="564"/>
      <c r="IQY4" s="564"/>
      <c r="IQZ4" s="564"/>
      <c r="IRA4" s="564"/>
      <c r="IRB4" s="564"/>
      <c r="IRC4" s="564"/>
      <c r="IRD4" s="564"/>
      <c r="IRE4" s="564"/>
      <c r="IRF4" s="564"/>
      <c r="IRG4" s="564"/>
      <c r="IRH4" s="564"/>
      <c r="IRI4" s="564"/>
      <c r="IRJ4" s="564"/>
      <c r="IRK4" s="564"/>
      <c r="IRL4" s="564"/>
      <c r="IRM4" s="564"/>
      <c r="IRN4" s="564"/>
      <c r="IRO4" s="564"/>
      <c r="IRP4" s="564"/>
      <c r="IRQ4" s="564"/>
      <c r="IRR4" s="564"/>
      <c r="IRS4" s="564"/>
      <c r="IRT4" s="564"/>
      <c r="IRU4" s="564"/>
      <c r="IRV4" s="564"/>
      <c r="IRW4" s="564"/>
      <c r="IRX4" s="564"/>
      <c r="IRY4" s="564"/>
      <c r="IRZ4" s="564"/>
      <c r="ISA4" s="564"/>
      <c r="ISB4" s="564"/>
      <c r="ISC4" s="564"/>
      <c r="ISD4" s="564"/>
      <c r="ISE4" s="564"/>
      <c r="ISF4" s="564"/>
      <c r="ISG4" s="564"/>
      <c r="ISH4" s="564"/>
      <c r="ISI4" s="564"/>
      <c r="ISJ4" s="564"/>
      <c r="ISK4" s="564"/>
      <c r="ISL4" s="564"/>
      <c r="ISM4" s="564"/>
      <c r="ISN4" s="564"/>
      <c r="ISO4" s="564"/>
      <c r="ISP4" s="564"/>
      <c r="ISQ4" s="564"/>
      <c r="ISR4" s="564"/>
      <c r="ISS4" s="564"/>
      <c r="IST4" s="564"/>
      <c r="ISU4" s="564"/>
      <c r="ISV4" s="564"/>
      <c r="ISW4" s="564"/>
      <c r="ISX4" s="564"/>
      <c r="ISY4" s="564"/>
      <c r="ISZ4" s="564"/>
      <c r="ITA4" s="564"/>
      <c r="ITB4" s="564"/>
      <c r="ITC4" s="564"/>
      <c r="ITD4" s="564"/>
      <c r="ITE4" s="564"/>
      <c r="ITF4" s="564"/>
      <c r="ITG4" s="564"/>
      <c r="ITH4" s="564"/>
      <c r="ITI4" s="564"/>
      <c r="ITJ4" s="564"/>
      <c r="ITK4" s="564"/>
      <c r="ITL4" s="564"/>
      <c r="ITM4" s="564"/>
      <c r="ITN4" s="564"/>
      <c r="ITO4" s="564"/>
      <c r="ITP4" s="564"/>
      <c r="ITQ4" s="564"/>
      <c r="ITR4" s="564"/>
      <c r="ITS4" s="564"/>
      <c r="ITT4" s="564"/>
      <c r="ITU4" s="564"/>
      <c r="ITV4" s="564"/>
      <c r="ITW4" s="564"/>
      <c r="ITX4" s="564"/>
      <c r="ITY4" s="564"/>
      <c r="ITZ4" s="564"/>
      <c r="IUA4" s="564"/>
      <c r="IUB4" s="564"/>
      <c r="IUC4" s="564"/>
      <c r="IUD4" s="564"/>
      <c r="IUE4" s="564"/>
      <c r="IUF4" s="564"/>
      <c r="IUG4" s="564"/>
      <c r="IUH4" s="564"/>
      <c r="IUI4" s="564"/>
      <c r="IUJ4" s="564"/>
      <c r="IUK4" s="564"/>
      <c r="IUL4" s="564"/>
      <c r="IUM4" s="564"/>
      <c r="IUN4" s="564"/>
      <c r="IUO4" s="564"/>
      <c r="IUP4" s="564"/>
      <c r="IUQ4" s="564"/>
      <c r="IUR4" s="564"/>
      <c r="IUS4" s="564"/>
      <c r="IUT4" s="564"/>
      <c r="IUU4" s="564"/>
      <c r="IUV4" s="564"/>
      <c r="IUW4" s="564"/>
      <c r="IUX4" s="564"/>
      <c r="IUY4" s="564"/>
      <c r="IUZ4" s="564"/>
      <c r="IVA4" s="564"/>
      <c r="IVB4" s="564"/>
      <c r="IVC4" s="564"/>
      <c r="IVD4" s="564"/>
      <c r="IVE4" s="564"/>
      <c r="IVF4" s="564"/>
      <c r="IVG4" s="564"/>
      <c r="IVH4" s="564"/>
      <c r="IVI4" s="564"/>
      <c r="IVJ4" s="564"/>
      <c r="IVK4" s="564"/>
      <c r="IVL4" s="564"/>
      <c r="IVM4" s="564"/>
      <c r="IVN4" s="564"/>
      <c r="IVO4" s="564"/>
      <c r="IVP4" s="564"/>
      <c r="IVQ4" s="564"/>
      <c r="IVR4" s="564"/>
      <c r="IVS4" s="564"/>
      <c r="IVT4" s="564"/>
      <c r="IVU4" s="564"/>
      <c r="IVV4" s="564"/>
      <c r="IVW4" s="564"/>
      <c r="IVX4" s="564"/>
      <c r="IVY4" s="564"/>
      <c r="IVZ4" s="564"/>
      <c r="IWA4" s="564"/>
      <c r="IWB4" s="564"/>
      <c r="IWC4" s="564"/>
      <c r="IWD4" s="564"/>
      <c r="IWE4" s="564"/>
      <c r="IWF4" s="564"/>
      <c r="IWG4" s="564"/>
      <c r="IWH4" s="564"/>
      <c r="IWI4" s="564"/>
      <c r="IWJ4" s="564"/>
      <c r="IWK4" s="564"/>
      <c r="IWL4" s="564"/>
      <c r="IWM4" s="564"/>
      <c r="IWN4" s="564"/>
      <c r="IWO4" s="564"/>
      <c r="IWP4" s="564"/>
      <c r="IWQ4" s="564"/>
      <c r="IWR4" s="564"/>
      <c r="IWS4" s="564"/>
      <c r="IWT4" s="564"/>
      <c r="IWU4" s="564"/>
      <c r="IWV4" s="564"/>
      <c r="IWW4" s="564"/>
      <c r="IWX4" s="564"/>
      <c r="IWY4" s="564"/>
      <c r="IWZ4" s="564"/>
      <c r="IXA4" s="564"/>
      <c r="IXB4" s="564"/>
      <c r="IXC4" s="564"/>
      <c r="IXD4" s="564"/>
      <c r="IXE4" s="564"/>
      <c r="IXF4" s="564"/>
      <c r="IXG4" s="564"/>
      <c r="IXH4" s="564"/>
      <c r="IXI4" s="564"/>
      <c r="IXJ4" s="564"/>
      <c r="IXK4" s="564"/>
      <c r="IXL4" s="564"/>
      <c r="IXM4" s="564"/>
      <c r="IXN4" s="564"/>
      <c r="IXO4" s="564"/>
      <c r="IXP4" s="564"/>
      <c r="IXQ4" s="564"/>
      <c r="IXR4" s="564"/>
      <c r="IXS4" s="564"/>
      <c r="IXT4" s="564"/>
      <c r="IXU4" s="564"/>
      <c r="IXV4" s="564"/>
      <c r="IXW4" s="564"/>
      <c r="IXX4" s="564"/>
      <c r="IXY4" s="564"/>
      <c r="IXZ4" s="564"/>
      <c r="IYA4" s="564"/>
      <c r="IYB4" s="564"/>
      <c r="IYC4" s="564"/>
      <c r="IYD4" s="564"/>
      <c r="IYE4" s="564"/>
      <c r="IYF4" s="564"/>
      <c r="IYG4" s="564"/>
      <c r="IYH4" s="564"/>
      <c r="IYI4" s="564"/>
      <c r="IYJ4" s="564"/>
      <c r="IYK4" s="564"/>
      <c r="IYL4" s="564"/>
      <c r="IYM4" s="564"/>
      <c r="IYN4" s="564"/>
      <c r="IYO4" s="564"/>
      <c r="IYP4" s="564"/>
      <c r="IYQ4" s="564"/>
      <c r="IYR4" s="564"/>
      <c r="IYS4" s="564"/>
      <c r="IYT4" s="564"/>
      <c r="IYU4" s="564"/>
      <c r="IYV4" s="564"/>
      <c r="IYW4" s="564"/>
      <c r="IYX4" s="564"/>
      <c r="IYY4" s="564"/>
      <c r="IYZ4" s="564"/>
      <c r="IZA4" s="564"/>
      <c r="IZB4" s="564"/>
      <c r="IZC4" s="564"/>
      <c r="IZD4" s="564"/>
      <c r="IZE4" s="564"/>
      <c r="IZF4" s="564"/>
      <c r="IZG4" s="564"/>
      <c r="IZH4" s="564"/>
      <c r="IZI4" s="564"/>
      <c r="IZJ4" s="564"/>
      <c r="IZK4" s="564"/>
      <c r="IZL4" s="564"/>
      <c r="IZM4" s="564"/>
      <c r="IZN4" s="564"/>
      <c r="IZO4" s="564"/>
      <c r="IZP4" s="564"/>
      <c r="IZQ4" s="564"/>
      <c r="IZR4" s="564"/>
      <c r="IZS4" s="564"/>
      <c r="IZT4" s="564"/>
      <c r="IZU4" s="564"/>
      <c r="IZV4" s="564"/>
      <c r="IZW4" s="564"/>
      <c r="IZX4" s="564"/>
      <c r="IZY4" s="564"/>
      <c r="IZZ4" s="564"/>
      <c r="JAA4" s="564"/>
      <c r="JAB4" s="564"/>
      <c r="JAC4" s="564"/>
      <c r="JAD4" s="564"/>
      <c r="JAE4" s="564"/>
      <c r="JAF4" s="564"/>
      <c r="JAG4" s="564"/>
      <c r="JAH4" s="564"/>
      <c r="JAI4" s="564"/>
      <c r="JAJ4" s="564"/>
      <c r="JAK4" s="564"/>
      <c r="JAL4" s="564"/>
      <c r="JAM4" s="564"/>
      <c r="JAN4" s="564"/>
      <c r="JAO4" s="564"/>
      <c r="JAP4" s="564"/>
      <c r="JAQ4" s="564"/>
      <c r="JAR4" s="564"/>
      <c r="JAS4" s="564"/>
      <c r="JAT4" s="564"/>
      <c r="JAU4" s="564"/>
      <c r="JAV4" s="564"/>
      <c r="JAW4" s="564"/>
      <c r="JAX4" s="564"/>
      <c r="JAY4" s="564"/>
      <c r="JAZ4" s="564"/>
      <c r="JBA4" s="564"/>
      <c r="JBB4" s="564"/>
      <c r="JBC4" s="564"/>
      <c r="JBD4" s="564"/>
      <c r="JBE4" s="564"/>
      <c r="JBF4" s="564"/>
      <c r="JBG4" s="564"/>
      <c r="JBH4" s="564"/>
      <c r="JBI4" s="564"/>
      <c r="JBJ4" s="564"/>
      <c r="JBK4" s="564"/>
      <c r="JBL4" s="564"/>
      <c r="JBM4" s="564"/>
      <c r="JBN4" s="564"/>
      <c r="JBO4" s="564"/>
      <c r="JBP4" s="564"/>
      <c r="JBQ4" s="564"/>
      <c r="JBR4" s="564"/>
      <c r="JBS4" s="564"/>
      <c r="JBT4" s="564"/>
      <c r="JBU4" s="564"/>
      <c r="JBV4" s="564"/>
      <c r="JBW4" s="564"/>
      <c r="JBX4" s="564"/>
      <c r="JBY4" s="564"/>
      <c r="JBZ4" s="564"/>
      <c r="JCA4" s="564"/>
      <c r="JCB4" s="564"/>
      <c r="JCC4" s="564"/>
      <c r="JCD4" s="564"/>
      <c r="JCE4" s="564"/>
      <c r="JCF4" s="564"/>
      <c r="JCG4" s="564"/>
      <c r="JCH4" s="564"/>
      <c r="JCI4" s="564"/>
      <c r="JCJ4" s="564"/>
      <c r="JCK4" s="564"/>
      <c r="JCL4" s="564"/>
      <c r="JCM4" s="564"/>
      <c r="JCN4" s="564"/>
      <c r="JCO4" s="564"/>
      <c r="JCP4" s="564"/>
      <c r="JCQ4" s="564"/>
      <c r="JCR4" s="564"/>
      <c r="JCS4" s="564"/>
      <c r="JCT4" s="564"/>
      <c r="JCU4" s="564"/>
      <c r="JCV4" s="564"/>
      <c r="JCW4" s="564"/>
      <c r="JCX4" s="564"/>
      <c r="JCY4" s="564"/>
      <c r="JCZ4" s="564"/>
      <c r="JDA4" s="564"/>
      <c r="JDB4" s="564"/>
      <c r="JDC4" s="564"/>
      <c r="JDD4" s="564"/>
      <c r="JDE4" s="564"/>
      <c r="JDF4" s="564"/>
      <c r="JDG4" s="564"/>
      <c r="JDH4" s="564"/>
      <c r="JDI4" s="564"/>
      <c r="JDJ4" s="564"/>
      <c r="JDK4" s="564"/>
      <c r="JDL4" s="564"/>
      <c r="JDM4" s="564"/>
      <c r="JDN4" s="564"/>
      <c r="JDO4" s="564"/>
      <c r="JDP4" s="564"/>
      <c r="JDQ4" s="564"/>
      <c r="JDR4" s="564"/>
      <c r="JDS4" s="564"/>
      <c r="JDT4" s="564"/>
      <c r="JDU4" s="564"/>
      <c r="JDV4" s="564"/>
      <c r="JDW4" s="564"/>
      <c r="JDX4" s="564"/>
      <c r="JDY4" s="564"/>
      <c r="JDZ4" s="564"/>
      <c r="JEA4" s="564"/>
      <c r="JEB4" s="564"/>
      <c r="JEC4" s="564"/>
      <c r="JED4" s="564"/>
      <c r="JEE4" s="564"/>
      <c r="JEF4" s="564"/>
      <c r="JEG4" s="564"/>
      <c r="JEH4" s="564"/>
      <c r="JEI4" s="564"/>
      <c r="JEJ4" s="564"/>
      <c r="JEK4" s="564"/>
      <c r="JEL4" s="564"/>
      <c r="JEM4" s="564"/>
      <c r="JEN4" s="564"/>
      <c r="JEO4" s="564"/>
      <c r="JEP4" s="564"/>
      <c r="JEQ4" s="564"/>
      <c r="JER4" s="564"/>
      <c r="JES4" s="564"/>
      <c r="JET4" s="564"/>
      <c r="JEU4" s="564"/>
      <c r="JEV4" s="564"/>
      <c r="JEW4" s="564"/>
      <c r="JEX4" s="564"/>
      <c r="JEY4" s="564"/>
      <c r="JEZ4" s="564"/>
      <c r="JFA4" s="564"/>
      <c r="JFB4" s="564"/>
      <c r="JFC4" s="564"/>
      <c r="JFD4" s="564"/>
      <c r="JFE4" s="564"/>
      <c r="JFF4" s="564"/>
      <c r="JFG4" s="564"/>
      <c r="JFH4" s="564"/>
      <c r="JFI4" s="564"/>
      <c r="JFJ4" s="564"/>
      <c r="JFK4" s="564"/>
      <c r="JFL4" s="564"/>
      <c r="JFM4" s="564"/>
      <c r="JFN4" s="564"/>
      <c r="JFO4" s="564"/>
      <c r="JFP4" s="564"/>
      <c r="JFQ4" s="564"/>
      <c r="JFR4" s="564"/>
      <c r="JFS4" s="564"/>
      <c r="JFT4" s="564"/>
      <c r="JFU4" s="564"/>
      <c r="JFV4" s="564"/>
      <c r="JFW4" s="564"/>
      <c r="JFX4" s="564"/>
      <c r="JFY4" s="564"/>
      <c r="JFZ4" s="564"/>
      <c r="JGA4" s="564"/>
      <c r="JGB4" s="564"/>
      <c r="JGC4" s="564"/>
      <c r="JGD4" s="564"/>
      <c r="JGE4" s="564"/>
      <c r="JGF4" s="564"/>
      <c r="JGG4" s="564"/>
      <c r="JGH4" s="564"/>
      <c r="JGI4" s="564"/>
      <c r="JGJ4" s="564"/>
      <c r="JGK4" s="564"/>
      <c r="JGL4" s="564"/>
      <c r="JGM4" s="564"/>
      <c r="JGN4" s="564"/>
      <c r="JGO4" s="564"/>
      <c r="JGP4" s="564"/>
      <c r="JGQ4" s="564"/>
      <c r="JGR4" s="564"/>
      <c r="JGS4" s="564"/>
      <c r="JGT4" s="564"/>
      <c r="JGU4" s="564"/>
      <c r="JGV4" s="564"/>
      <c r="JGW4" s="564"/>
      <c r="JGX4" s="564"/>
      <c r="JGY4" s="564"/>
      <c r="JGZ4" s="564"/>
      <c r="JHA4" s="564"/>
      <c r="JHB4" s="564"/>
      <c r="JHC4" s="564"/>
      <c r="JHD4" s="564"/>
      <c r="JHE4" s="564"/>
      <c r="JHF4" s="564"/>
      <c r="JHG4" s="564"/>
      <c r="JHH4" s="564"/>
      <c r="JHI4" s="564"/>
      <c r="JHJ4" s="564"/>
      <c r="JHK4" s="564"/>
      <c r="JHL4" s="564"/>
      <c r="JHM4" s="564"/>
      <c r="JHN4" s="564"/>
      <c r="JHO4" s="564"/>
      <c r="JHP4" s="564"/>
      <c r="JHQ4" s="564"/>
      <c r="JHR4" s="564"/>
      <c r="JHS4" s="564"/>
      <c r="JHT4" s="564"/>
      <c r="JHU4" s="564"/>
      <c r="JHV4" s="564"/>
      <c r="JHW4" s="564"/>
      <c r="JHX4" s="564"/>
      <c r="JHY4" s="564"/>
      <c r="JHZ4" s="564"/>
      <c r="JIA4" s="564"/>
      <c r="JIB4" s="564"/>
      <c r="JIC4" s="564"/>
      <c r="JID4" s="564"/>
      <c r="JIE4" s="564"/>
      <c r="JIF4" s="564"/>
      <c r="JIG4" s="564"/>
      <c r="JIH4" s="564"/>
      <c r="JII4" s="564"/>
      <c r="JIJ4" s="564"/>
      <c r="JIK4" s="564"/>
      <c r="JIL4" s="564"/>
      <c r="JIM4" s="564"/>
      <c r="JIN4" s="564"/>
      <c r="JIO4" s="564"/>
      <c r="JIP4" s="564"/>
      <c r="JIQ4" s="564"/>
      <c r="JIR4" s="564"/>
      <c r="JIS4" s="564"/>
      <c r="JIT4" s="564"/>
      <c r="JIU4" s="564"/>
      <c r="JIV4" s="564"/>
      <c r="JIW4" s="564"/>
      <c r="JIX4" s="564"/>
      <c r="JIY4" s="564"/>
      <c r="JIZ4" s="564"/>
      <c r="JJA4" s="564"/>
      <c r="JJB4" s="564"/>
      <c r="JJC4" s="564"/>
      <c r="JJD4" s="564"/>
      <c r="JJE4" s="564"/>
      <c r="JJF4" s="564"/>
      <c r="JJG4" s="564"/>
      <c r="JJH4" s="564"/>
      <c r="JJI4" s="564"/>
      <c r="JJJ4" s="564"/>
      <c r="JJK4" s="564"/>
      <c r="JJL4" s="564"/>
      <c r="JJM4" s="564"/>
      <c r="JJN4" s="564"/>
      <c r="JJO4" s="564"/>
      <c r="JJP4" s="564"/>
      <c r="JJQ4" s="564"/>
      <c r="JJR4" s="564"/>
      <c r="JJS4" s="564"/>
      <c r="JJT4" s="564"/>
      <c r="JJU4" s="564"/>
      <c r="JJV4" s="564"/>
      <c r="JJW4" s="564"/>
      <c r="JJX4" s="564"/>
      <c r="JJY4" s="564"/>
      <c r="JJZ4" s="564"/>
      <c r="JKA4" s="564"/>
      <c r="JKB4" s="564"/>
      <c r="JKC4" s="564"/>
      <c r="JKD4" s="564"/>
      <c r="JKE4" s="564"/>
      <c r="JKF4" s="564"/>
      <c r="JKG4" s="564"/>
      <c r="JKH4" s="564"/>
      <c r="JKI4" s="564"/>
      <c r="JKJ4" s="564"/>
      <c r="JKK4" s="564"/>
      <c r="JKL4" s="564"/>
      <c r="JKM4" s="564"/>
      <c r="JKN4" s="564"/>
      <c r="JKO4" s="564"/>
      <c r="JKP4" s="564"/>
      <c r="JKQ4" s="564"/>
      <c r="JKR4" s="564"/>
      <c r="JKS4" s="564"/>
      <c r="JKT4" s="564"/>
      <c r="JKU4" s="564"/>
      <c r="JKV4" s="564"/>
      <c r="JKW4" s="564"/>
      <c r="JKX4" s="564"/>
      <c r="JKY4" s="564"/>
      <c r="JKZ4" s="564"/>
      <c r="JLA4" s="564"/>
      <c r="JLB4" s="564"/>
      <c r="JLC4" s="564"/>
      <c r="JLD4" s="564"/>
      <c r="JLE4" s="564"/>
      <c r="JLF4" s="564"/>
      <c r="JLG4" s="564"/>
      <c r="JLH4" s="564"/>
      <c r="JLI4" s="564"/>
      <c r="JLJ4" s="564"/>
      <c r="JLK4" s="564"/>
      <c r="JLL4" s="564"/>
      <c r="JLM4" s="564"/>
      <c r="JLN4" s="564"/>
      <c r="JLO4" s="564"/>
      <c r="JLP4" s="564"/>
      <c r="JLQ4" s="564"/>
      <c r="JLR4" s="564"/>
      <c r="JLS4" s="564"/>
      <c r="JLT4" s="564"/>
      <c r="JLU4" s="564"/>
      <c r="JLV4" s="564"/>
      <c r="JLW4" s="564"/>
      <c r="JLX4" s="564"/>
      <c r="JLY4" s="564"/>
      <c r="JLZ4" s="564"/>
      <c r="JMA4" s="564"/>
      <c r="JMB4" s="564"/>
      <c r="JMC4" s="564"/>
      <c r="JMD4" s="564"/>
      <c r="JME4" s="564"/>
      <c r="JMF4" s="564"/>
      <c r="JMG4" s="564"/>
      <c r="JMH4" s="564"/>
      <c r="JMI4" s="564"/>
      <c r="JMJ4" s="564"/>
      <c r="JMK4" s="564"/>
      <c r="JML4" s="564"/>
      <c r="JMM4" s="564"/>
      <c r="JMN4" s="564"/>
      <c r="JMO4" s="564"/>
      <c r="JMP4" s="564"/>
      <c r="JMQ4" s="564"/>
      <c r="JMR4" s="564"/>
      <c r="JMS4" s="564"/>
      <c r="JMT4" s="564"/>
      <c r="JMU4" s="564"/>
      <c r="JMV4" s="564"/>
      <c r="JMW4" s="564"/>
      <c r="JMX4" s="564"/>
      <c r="JMY4" s="564"/>
      <c r="JMZ4" s="564"/>
      <c r="JNA4" s="564"/>
      <c r="JNB4" s="564"/>
      <c r="JNC4" s="564"/>
      <c r="JND4" s="564"/>
      <c r="JNE4" s="564"/>
      <c r="JNF4" s="564"/>
      <c r="JNG4" s="564"/>
      <c r="JNH4" s="564"/>
      <c r="JNI4" s="564"/>
      <c r="JNJ4" s="564"/>
      <c r="JNK4" s="564"/>
      <c r="JNL4" s="564"/>
      <c r="JNM4" s="564"/>
      <c r="JNN4" s="564"/>
      <c r="JNO4" s="564"/>
      <c r="JNP4" s="564"/>
      <c r="JNQ4" s="564"/>
      <c r="JNR4" s="564"/>
      <c r="JNS4" s="564"/>
      <c r="JNT4" s="564"/>
      <c r="JNU4" s="564"/>
      <c r="JNV4" s="564"/>
      <c r="JNW4" s="564"/>
      <c r="JNX4" s="564"/>
      <c r="JNY4" s="564"/>
      <c r="JNZ4" s="564"/>
      <c r="JOA4" s="564"/>
      <c r="JOB4" s="564"/>
      <c r="JOC4" s="564"/>
      <c r="JOD4" s="564"/>
      <c r="JOE4" s="564"/>
      <c r="JOF4" s="564"/>
      <c r="JOG4" s="564"/>
      <c r="JOH4" s="564"/>
      <c r="JOI4" s="564"/>
      <c r="JOJ4" s="564"/>
      <c r="JOK4" s="564"/>
      <c r="JOL4" s="564"/>
      <c r="JOM4" s="564"/>
      <c r="JON4" s="564"/>
      <c r="JOO4" s="564"/>
      <c r="JOP4" s="564"/>
      <c r="JOQ4" s="564"/>
      <c r="JOR4" s="564"/>
      <c r="JOS4" s="564"/>
      <c r="JOT4" s="564"/>
      <c r="JOU4" s="564"/>
      <c r="JOV4" s="564"/>
      <c r="JOW4" s="564"/>
      <c r="JOX4" s="564"/>
      <c r="JOY4" s="564"/>
      <c r="JOZ4" s="564"/>
      <c r="JPA4" s="564"/>
      <c r="JPB4" s="564"/>
      <c r="JPC4" s="564"/>
      <c r="JPD4" s="564"/>
      <c r="JPE4" s="564"/>
      <c r="JPF4" s="564"/>
      <c r="JPG4" s="564"/>
      <c r="JPH4" s="564"/>
      <c r="JPI4" s="564"/>
      <c r="JPJ4" s="564"/>
      <c r="JPK4" s="564"/>
      <c r="JPL4" s="564"/>
      <c r="JPM4" s="564"/>
      <c r="JPN4" s="564"/>
      <c r="JPO4" s="564"/>
      <c r="JPP4" s="564"/>
      <c r="JPQ4" s="564"/>
      <c r="JPR4" s="564"/>
      <c r="JPS4" s="564"/>
      <c r="JPT4" s="564"/>
      <c r="JPU4" s="564"/>
      <c r="JPV4" s="564"/>
      <c r="JPW4" s="564"/>
      <c r="JPX4" s="564"/>
      <c r="JPY4" s="564"/>
      <c r="JPZ4" s="564"/>
      <c r="JQA4" s="564"/>
      <c r="JQB4" s="564"/>
      <c r="JQC4" s="564"/>
      <c r="JQD4" s="564"/>
      <c r="JQE4" s="564"/>
      <c r="JQF4" s="564"/>
      <c r="JQG4" s="564"/>
      <c r="JQH4" s="564"/>
      <c r="JQI4" s="564"/>
      <c r="JQJ4" s="564"/>
      <c r="JQK4" s="564"/>
      <c r="JQL4" s="564"/>
      <c r="JQM4" s="564"/>
      <c r="JQN4" s="564"/>
      <c r="JQO4" s="564"/>
      <c r="JQP4" s="564"/>
      <c r="JQQ4" s="564"/>
      <c r="JQR4" s="564"/>
      <c r="JQS4" s="564"/>
      <c r="JQT4" s="564"/>
      <c r="JQU4" s="564"/>
      <c r="JQV4" s="564"/>
      <c r="JQW4" s="564"/>
      <c r="JQX4" s="564"/>
      <c r="JQY4" s="564"/>
      <c r="JQZ4" s="564"/>
      <c r="JRA4" s="564"/>
      <c r="JRB4" s="564"/>
      <c r="JRC4" s="564"/>
      <c r="JRD4" s="564"/>
      <c r="JRE4" s="564"/>
      <c r="JRF4" s="564"/>
      <c r="JRG4" s="564"/>
      <c r="JRH4" s="564"/>
      <c r="JRI4" s="564"/>
      <c r="JRJ4" s="564"/>
      <c r="JRK4" s="564"/>
      <c r="JRL4" s="564"/>
      <c r="JRM4" s="564"/>
      <c r="JRN4" s="564"/>
      <c r="JRO4" s="564"/>
      <c r="JRP4" s="564"/>
      <c r="JRQ4" s="564"/>
      <c r="JRR4" s="564"/>
      <c r="JRS4" s="564"/>
      <c r="JRT4" s="564"/>
      <c r="JRU4" s="564"/>
      <c r="JRV4" s="564"/>
      <c r="JRW4" s="564"/>
      <c r="JRX4" s="564"/>
      <c r="JRY4" s="564"/>
      <c r="JRZ4" s="564"/>
      <c r="JSA4" s="564"/>
      <c r="JSB4" s="564"/>
      <c r="JSC4" s="564"/>
      <c r="JSD4" s="564"/>
      <c r="JSE4" s="564"/>
      <c r="JSF4" s="564"/>
      <c r="JSG4" s="564"/>
      <c r="JSH4" s="564"/>
      <c r="JSI4" s="564"/>
      <c r="JSJ4" s="564"/>
      <c r="JSK4" s="564"/>
      <c r="JSL4" s="564"/>
      <c r="JSM4" s="564"/>
      <c r="JSN4" s="564"/>
      <c r="JSO4" s="564"/>
      <c r="JSP4" s="564"/>
      <c r="JSQ4" s="564"/>
      <c r="JSR4" s="564"/>
      <c r="JSS4" s="564"/>
      <c r="JST4" s="564"/>
      <c r="JSU4" s="564"/>
      <c r="JSV4" s="564"/>
      <c r="JSW4" s="564"/>
      <c r="JSX4" s="564"/>
      <c r="JSY4" s="564"/>
      <c r="JSZ4" s="564"/>
      <c r="JTA4" s="564"/>
      <c r="JTB4" s="564"/>
      <c r="JTC4" s="564"/>
      <c r="JTD4" s="564"/>
      <c r="JTE4" s="564"/>
      <c r="JTF4" s="564"/>
      <c r="JTG4" s="564"/>
      <c r="JTH4" s="564"/>
      <c r="JTI4" s="564"/>
      <c r="JTJ4" s="564"/>
      <c r="JTK4" s="564"/>
      <c r="JTL4" s="564"/>
      <c r="JTM4" s="564"/>
      <c r="JTN4" s="564"/>
      <c r="JTO4" s="564"/>
      <c r="JTP4" s="564"/>
      <c r="JTQ4" s="564"/>
      <c r="JTR4" s="564"/>
      <c r="JTS4" s="564"/>
      <c r="JTT4" s="564"/>
      <c r="JTU4" s="564"/>
      <c r="JTV4" s="564"/>
      <c r="JTW4" s="564"/>
      <c r="JTX4" s="564"/>
      <c r="JTY4" s="564"/>
      <c r="JTZ4" s="564"/>
      <c r="JUA4" s="564"/>
      <c r="JUB4" s="564"/>
      <c r="JUC4" s="564"/>
      <c r="JUD4" s="564"/>
      <c r="JUE4" s="564"/>
      <c r="JUF4" s="564"/>
      <c r="JUG4" s="564"/>
      <c r="JUH4" s="564"/>
      <c r="JUI4" s="564"/>
      <c r="JUJ4" s="564"/>
      <c r="JUK4" s="564"/>
      <c r="JUL4" s="564"/>
      <c r="JUM4" s="564"/>
      <c r="JUN4" s="564"/>
      <c r="JUO4" s="564"/>
      <c r="JUP4" s="564"/>
      <c r="JUQ4" s="564"/>
      <c r="JUR4" s="564"/>
      <c r="JUS4" s="564"/>
      <c r="JUT4" s="564"/>
      <c r="JUU4" s="564"/>
      <c r="JUV4" s="564"/>
      <c r="JUW4" s="564"/>
      <c r="JUX4" s="564"/>
      <c r="JUY4" s="564"/>
      <c r="JUZ4" s="564"/>
      <c r="JVA4" s="564"/>
      <c r="JVB4" s="564"/>
      <c r="JVC4" s="564"/>
      <c r="JVD4" s="564"/>
      <c r="JVE4" s="564"/>
      <c r="JVF4" s="564"/>
      <c r="JVG4" s="564"/>
      <c r="JVH4" s="564"/>
      <c r="JVI4" s="564"/>
      <c r="JVJ4" s="564"/>
      <c r="JVK4" s="564"/>
      <c r="JVL4" s="564"/>
      <c r="JVM4" s="564"/>
      <c r="JVN4" s="564"/>
      <c r="JVO4" s="564"/>
      <c r="JVP4" s="564"/>
      <c r="JVQ4" s="564"/>
      <c r="JVR4" s="564"/>
      <c r="JVS4" s="564"/>
      <c r="JVT4" s="564"/>
      <c r="JVU4" s="564"/>
      <c r="JVV4" s="564"/>
      <c r="JVW4" s="564"/>
      <c r="JVX4" s="564"/>
      <c r="JVY4" s="564"/>
      <c r="JVZ4" s="564"/>
      <c r="JWA4" s="564"/>
      <c r="JWB4" s="564"/>
      <c r="JWC4" s="564"/>
      <c r="JWD4" s="564"/>
      <c r="JWE4" s="564"/>
      <c r="JWF4" s="564"/>
      <c r="JWG4" s="564"/>
      <c r="JWH4" s="564"/>
      <c r="JWI4" s="564"/>
      <c r="JWJ4" s="564"/>
      <c r="JWK4" s="564"/>
      <c r="JWL4" s="564"/>
      <c r="JWM4" s="564"/>
      <c r="JWN4" s="564"/>
      <c r="JWO4" s="564"/>
      <c r="JWP4" s="564"/>
      <c r="JWQ4" s="564"/>
      <c r="JWR4" s="564"/>
      <c r="JWS4" s="564"/>
      <c r="JWT4" s="564"/>
      <c r="JWU4" s="564"/>
      <c r="JWV4" s="564"/>
      <c r="JWW4" s="564"/>
      <c r="JWX4" s="564"/>
      <c r="JWY4" s="564"/>
      <c r="JWZ4" s="564"/>
      <c r="JXA4" s="564"/>
      <c r="JXB4" s="564"/>
      <c r="JXC4" s="564"/>
      <c r="JXD4" s="564"/>
      <c r="JXE4" s="564"/>
      <c r="JXF4" s="564"/>
      <c r="JXG4" s="564"/>
      <c r="JXH4" s="564"/>
      <c r="JXI4" s="564"/>
      <c r="JXJ4" s="564"/>
      <c r="JXK4" s="564"/>
      <c r="JXL4" s="564"/>
      <c r="JXM4" s="564"/>
      <c r="JXN4" s="564"/>
      <c r="JXO4" s="564"/>
      <c r="JXP4" s="564"/>
      <c r="JXQ4" s="564"/>
      <c r="JXR4" s="564"/>
      <c r="JXS4" s="564"/>
      <c r="JXT4" s="564"/>
      <c r="JXU4" s="564"/>
      <c r="JXV4" s="564"/>
      <c r="JXW4" s="564"/>
      <c r="JXX4" s="564"/>
      <c r="JXY4" s="564"/>
      <c r="JXZ4" s="564"/>
      <c r="JYA4" s="564"/>
      <c r="JYB4" s="564"/>
      <c r="JYC4" s="564"/>
      <c r="JYD4" s="564"/>
      <c r="JYE4" s="564"/>
      <c r="JYF4" s="564"/>
      <c r="JYG4" s="564"/>
      <c r="JYH4" s="564"/>
      <c r="JYI4" s="564"/>
      <c r="JYJ4" s="564"/>
      <c r="JYK4" s="564"/>
      <c r="JYL4" s="564"/>
      <c r="JYM4" s="564"/>
      <c r="JYN4" s="564"/>
      <c r="JYO4" s="564"/>
      <c r="JYP4" s="564"/>
      <c r="JYQ4" s="564"/>
      <c r="JYR4" s="564"/>
      <c r="JYS4" s="564"/>
      <c r="JYT4" s="564"/>
      <c r="JYU4" s="564"/>
      <c r="JYV4" s="564"/>
      <c r="JYW4" s="564"/>
      <c r="JYX4" s="564"/>
      <c r="JYY4" s="564"/>
      <c r="JYZ4" s="564"/>
      <c r="JZA4" s="564"/>
      <c r="JZB4" s="564"/>
      <c r="JZC4" s="564"/>
      <c r="JZD4" s="564"/>
      <c r="JZE4" s="564"/>
      <c r="JZF4" s="564"/>
      <c r="JZG4" s="564"/>
      <c r="JZH4" s="564"/>
      <c r="JZI4" s="564"/>
      <c r="JZJ4" s="564"/>
      <c r="JZK4" s="564"/>
      <c r="JZL4" s="564"/>
      <c r="JZM4" s="564"/>
      <c r="JZN4" s="564"/>
      <c r="JZO4" s="564"/>
      <c r="JZP4" s="564"/>
      <c r="JZQ4" s="564"/>
      <c r="JZR4" s="564"/>
      <c r="JZS4" s="564"/>
      <c r="JZT4" s="564"/>
      <c r="JZU4" s="564"/>
      <c r="JZV4" s="564"/>
      <c r="JZW4" s="564"/>
      <c r="JZX4" s="564"/>
      <c r="JZY4" s="564"/>
      <c r="JZZ4" s="564"/>
      <c r="KAA4" s="564"/>
      <c r="KAB4" s="564"/>
      <c r="KAC4" s="564"/>
      <c r="KAD4" s="564"/>
      <c r="KAE4" s="564"/>
      <c r="KAF4" s="564"/>
      <c r="KAG4" s="564"/>
      <c r="KAH4" s="564"/>
      <c r="KAI4" s="564"/>
      <c r="KAJ4" s="564"/>
      <c r="KAK4" s="564"/>
      <c r="KAL4" s="564"/>
      <c r="KAM4" s="564"/>
      <c r="KAN4" s="564"/>
      <c r="KAO4" s="564"/>
      <c r="KAP4" s="564"/>
      <c r="KAQ4" s="564"/>
      <c r="KAR4" s="564"/>
      <c r="KAS4" s="564"/>
      <c r="KAT4" s="564"/>
      <c r="KAU4" s="564"/>
      <c r="KAV4" s="564"/>
      <c r="KAW4" s="564"/>
      <c r="KAX4" s="564"/>
      <c r="KAY4" s="564"/>
      <c r="KAZ4" s="564"/>
      <c r="KBA4" s="564"/>
      <c r="KBB4" s="564"/>
      <c r="KBC4" s="564"/>
      <c r="KBD4" s="564"/>
      <c r="KBE4" s="564"/>
      <c r="KBF4" s="564"/>
      <c r="KBG4" s="564"/>
      <c r="KBH4" s="564"/>
      <c r="KBI4" s="564"/>
      <c r="KBJ4" s="564"/>
      <c r="KBK4" s="564"/>
      <c r="KBL4" s="564"/>
      <c r="KBM4" s="564"/>
      <c r="KBN4" s="564"/>
      <c r="KBO4" s="564"/>
      <c r="KBP4" s="564"/>
      <c r="KBQ4" s="564"/>
      <c r="KBR4" s="564"/>
      <c r="KBS4" s="564"/>
      <c r="KBT4" s="564"/>
      <c r="KBU4" s="564"/>
      <c r="KBV4" s="564"/>
      <c r="KBW4" s="564"/>
      <c r="KBX4" s="564"/>
      <c r="KBY4" s="564"/>
      <c r="KBZ4" s="564"/>
      <c r="KCA4" s="564"/>
      <c r="KCB4" s="564"/>
      <c r="KCC4" s="564"/>
      <c r="KCD4" s="564"/>
      <c r="KCE4" s="564"/>
      <c r="KCF4" s="564"/>
      <c r="KCG4" s="564"/>
      <c r="KCH4" s="564"/>
      <c r="KCI4" s="564"/>
      <c r="KCJ4" s="564"/>
      <c r="KCK4" s="564"/>
      <c r="KCL4" s="564"/>
      <c r="KCM4" s="564"/>
      <c r="KCN4" s="564"/>
      <c r="KCO4" s="564"/>
      <c r="KCP4" s="564"/>
      <c r="KCQ4" s="564"/>
      <c r="KCR4" s="564"/>
      <c r="KCS4" s="564"/>
      <c r="KCT4" s="564"/>
      <c r="KCU4" s="564"/>
      <c r="KCV4" s="564"/>
      <c r="KCW4" s="564"/>
      <c r="KCX4" s="564"/>
      <c r="KCY4" s="564"/>
      <c r="KCZ4" s="564"/>
      <c r="KDA4" s="564"/>
      <c r="KDB4" s="564"/>
      <c r="KDC4" s="564"/>
      <c r="KDD4" s="564"/>
      <c r="KDE4" s="564"/>
      <c r="KDF4" s="564"/>
      <c r="KDG4" s="564"/>
      <c r="KDH4" s="564"/>
      <c r="KDI4" s="564"/>
      <c r="KDJ4" s="564"/>
      <c r="KDK4" s="564"/>
      <c r="KDL4" s="564"/>
      <c r="KDM4" s="564"/>
      <c r="KDN4" s="564"/>
      <c r="KDO4" s="564"/>
      <c r="KDP4" s="564"/>
      <c r="KDQ4" s="564"/>
      <c r="KDR4" s="564"/>
      <c r="KDS4" s="564"/>
      <c r="KDT4" s="564"/>
      <c r="KDU4" s="564"/>
      <c r="KDV4" s="564"/>
      <c r="KDW4" s="564"/>
      <c r="KDX4" s="564"/>
      <c r="KDY4" s="564"/>
      <c r="KDZ4" s="564"/>
      <c r="KEA4" s="564"/>
      <c r="KEB4" s="564"/>
      <c r="KEC4" s="564"/>
      <c r="KED4" s="564"/>
      <c r="KEE4" s="564"/>
      <c r="KEF4" s="564"/>
      <c r="KEG4" s="564"/>
      <c r="KEH4" s="564"/>
      <c r="KEI4" s="564"/>
      <c r="KEJ4" s="564"/>
      <c r="KEK4" s="564"/>
      <c r="KEL4" s="564"/>
      <c r="KEM4" s="564"/>
      <c r="KEN4" s="564"/>
      <c r="KEO4" s="564"/>
      <c r="KEP4" s="564"/>
      <c r="KEQ4" s="564"/>
      <c r="KER4" s="564"/>
      <c r="KES4" s="564"/>
      <c r="KET4" s="564"/>
      <c r="KEU4" s="564"/>
      <c r="KEV4" s="564"/>
      <c r="KEW4" s="564"/>
      <c r="KEX4" s="564"/>
      <c r="KEY4" s="564"/>
      <c r="KEZ4" s="564"/>
      <c r="KFA4" s="564"/>
      <c r="KFB4" s="564"/>
      <c r="KFC4" s="564"/>
      <c r="KFD4" s="564"/>
      <c r="KFE4" s="564"/>
      <c r="KFF4" s="564"/>
      <c r="KFG4" s="564"/>
      <c r="KFH4" s="564"/>
      <c r="KFI4" s="564"/>
      <c r="KFJ4" s="564"/>
      <c r="KFK4" s="564"/>
      <c r="KFL4" s="564"/>
      <c r="KFM4" s="564"/>
      <c r="KFN4" s="564"/>
      <c r="KFO4" s="564"/>
      <c r="KFP4" s="564"/>
      <c r="KFQ4" s="564"/>
      <c r="KFR4" s="564"/>
      <c r="KFS4" s="564"/>
      <c r="KFT4" s="564"/>
      <c r="KFU4" s="564"/>
      <c r="KFV4" s="564"/>
      <c r="KFW4" s="564"/>
      <c r="KFX4" s="564"/>
      <c r="KFY4" s="564"/>
      <c r="KFZ4" s="564"/>
      <c r="KGA4" s="564"/>
      <c r="KGB4" s="564"/>
      <c r="KGC4" s="564"/>
      <c r="KGD4" s="564"/>
      <c r="KGE4" s="564"/>
      <c r="KGF4" s="564"/>
      <c r="KGG4" s="564"/>
      <c r="KGH4" s="564"/>
      <c r="KGI4" s="564"/>
      <c r="KGJ4" s="564"/>
      <c r="KGK4" s="564"/>
      <c r="KGL4" s="564"/>
      <c r="KGM4" s="564"/>
      <c r="KGN4" s="564"/>
      <c r="KGO4" s="564"/>
      <c r="KGP4" s="564"/>
      <c r="KGQ4" s="564"/>
      <c r="KGR4" s="564"/>
      <c r="KGS4" s="564"/>
      <c r="KGT4" s="564"/>
      <c r="KGU4" s="564"/>
      <c r="KGV4" s="564"/>
      <c r="KGW4" s="564"/>
      <c r="KGX4" s="564"/>
      <c r="KGY4" s="564"/>
      <c r="KGZ4" s="564"/>
      <c r="KHA4" s="564"/>
      <c r="KHB4" s="564"/>
      <c r="KHC4" s="564"/>
      <c r="KHD4" s="564"/>
      <c r="KHE4" s="564"/>
      <c r="KHF4" s="564"/>
      <c r="KHG4" s="564"/>
      <c r="KHH4" s="564"/>
      <c r="KHI4" s="564"/>
      <c r="KHJ4" s="564"/>
      <c r="KHK4" s="564"/>
      <c r="KHL4" s="564"/>
      <c r="KHM4" s="564"/>
      <c r="KHN4" s="564"/>
      <c r="KHO4" s="564"/>
      <c r="KHP4" s="564"/>
      <c r="KHQ4" s="564"/>
      <c r="KHR4" s="564"/>
      <c r="KHS4" s="564"/>
      <c r="KHT4" s="564"/>
      <c r="KHU4" s="564"/>
      <c r="KHV4" s="564"/>
      <c r="KHW4" s="564"/>
      <c r="KHX4" s="564"/>
      <c r="KHY4" s="564"/>
      <c r="KHZ4" s="564"/>
      <c r="KIA4" s="564"/>
      <c r="KIB4" s="564"/>
      <c r="KIC4" s="564"/>
      <c r="KID4" s="564"/>
      <c r="KIE4" s="564"/>
      <c r="KIF4" s="564"/>
      <c r="KIG4" s="564"/>
      <c r="KIH4" s="564"/>
      <c r="KII4" s="564"/>
      <c r="KIJ4" s="564"/>
      <c r="KIK4" s="564"/>
      <c r="KIL4" s="564"/>
      <c r="KIM4" s="564"/>
      <c r="KIN4" s="564"/>
      <c r="KIO4" s="564"/>
      <c r="KIP4" s="564"/>
      <c r="KIQ4" s="564"/>
      <c r="KIR4" s="564"/>
      <c r="KIS4" s="564"/>
      <c r="KIT4" s="564"/>
      <c r="KIU4" s="564"/>
      <c r="KIV4" s="564"/>
      <c r="KIW4" s="564"/>
      <c r="KIX4" s="564"/>
      <c r="KIY4" s="564"/>
      <c r="KIZ4" s="564"/>
      <c r="KJA4" s="564"/>
      <c r="KJB4" s="564"/>
      <c r="KJC4" s="564"/>
      <c r="KJD4" s="564"/>
      <c r="KJE4" s="564"/>
      <c r="KJF4" s="564"/>
      <c r="KJG4" s="564"/>
      <c r="KJH4" s="564"/>
      <c r="KJI4" s="564"/>
      <c r="KJJ4" s="564"/>
      <c r="KJK4" s="564"/>
      <c r="KJL4" s="564"/>
      <c r="KJM4" s="564"/>
      <c r="KJN4" s="564"/>
      <c r="KJO4" s="564"/>
      <c r="KJP4" s="564"/>
      <c r="KJQ4" s="564"/>
      <c r="KJR4" s="564"/>
      <c r="KJS4" s="564"/>
      <c r="KJT4" s="564"/>
      <c r="KJU4" s="564"/>
      <c r="KJV4" s="564"/>
      <c r="KJW4" s="564"/>
      <c r="KJX4" s="564"/>
      <c r="KJY4" s="564"/>
      <c r="KJZ4" s="564"/>
      <c r="KKA4" s="564"/>
      <c r="KKB4" s="564"/>
      <c r="KKC4" s="564"/>
      <c r="KKD4" s="564"/>
      <c r="KKE4" s="564"/>
      <c r="KKF4" s="564"/>
      <c r="KKG4" s="564"/>
      <c r="KKH4" s="564"/>
      <c r="KKI4" s="564"/>
      <c r="KKJ4" s="564"/>
      <c r="KKK4" s="564"/>
      <c r="KKL4" s="564"/>
      <c r="KKM4" s="564"/>
      <c r="KKN4" s="564"/>
      <c r="KKO4" s="564"/>
      <c r="KKP4" s="564"/>
      <c r="KKQ4" s="564"/>
      <c r="KKR4" s="564"/>
      <c r="KKS4" s="564"/>
      <c r="KKT4" s="564"/>
      <c r="KKU4" s="564"/>
      <c r="KKV4" s="564"/>
      <c r="KKW4" s="564"/>
      <c r="KKX4" s="564"/>
      <c r="KKY4" s="564"/>
      <c r="KKZ4" s="564"/>
      <c r="KLA4" s="564"/>
      <c r="KLB4" s="564"/>
      <c r="KLC4" s="564"/>
      <c r="KLD4" s="564"/>
      <c r="KLE4" s="564"/>
      <c r="KLF4" s="564"/>
      <c r="KLG4" s="564"/>
      <c r="KLH4" s="564"/>
      <c r="KLI4" s="564"/>
      <c r="KLJ4" s="564"/>
      <c r="KLK4" s="564"/>
      <c r="KLL4" s="564"/>
      <c r="KLM4" s="564"/>
      <c r="KLN4" s="564"/>
      <c r="KLO4" s="564"/>
      <c r="KLP4" s="564"/>
      <c r="KLQ4" s="564"/>
      <c r="KLR4" s="564"/>
      <c r="KLS4" s="564"/>
      <c r="KLT4" s="564"/>
      <c r="KLU4" s="564"/>
      <c r="KLV4" s="564"/>
      <c r="KLW4" s="564"/>
      <c r="KLX4" s="564"/>
      <c r="KLY4" s="564"/>
      <c r="KLZ4" s="564"/>
      <c r="KMA4" s="564"/>
      <c r="KMB4" s="564"/>
      <c r="KMC4" s="564"/>
      <c r="KMD4" s="564"/>
      <c r="KME4" s="564"/>
      <c r="KMF4" s="564"/>
      <c r="KMG4" s="564"/>
      <c r="KMH4" s="564"/>
      <c r="KMI4" s="564"/>
      <c r="KMJ4" s="564"/>
      <c r="KMK4" s="564"/>
      <c r="KML4" s="564"/>
      <c r="KMM4" s="564"/>
      <c r="KMN4" s="564"/>
      <c r="KMO4" s="564"/>
      <c r="KMP4" s="564"/>
      <c r="KMQ4" s="564"/>
      <c r="KMR4" s="564"/>
      <c r="KMS4" s="564"/>
      <c r="KMT4" s="564"/>
      <c r="KMU4" s="564"/>
      <c r="KMV4" s="564"/>
      <c r="KMW4" s="564"/>
      <c r="KMX4" s="564"/>
      <c r="KMY4" s="564"/>
      <c r="KMZ4" s="564"/>
      <c r="KNA4" s="564"/>
      <c r="KNB4" s="564"/>
      <c r="KNC4" s="564"/>
      <c r="KND4" s="564"/>
      <c r="KNE4" s="564"/>
      <c r="KNF4" s="564"/>
      <c r="KNG4" s="564"/>
      <c r="KNH4" s="564"/>
      <c r="KNI4" s="564"/>
      <c r="KNJ4" s="564"/>
      <c r="KNK4" s="564"/>
      <c r="KNL4" s="564"/>
      <c r="KNM4" s="564"/>
      <c r="KNN4" s="564"/>
      <c r="KNO4" s="564"/>
      <c r="KNP4" s="564"/>
      <c r="KNQ4" s="564"/>
      <c r="KNR4" s="564"/>
      <c r="KNS4" s="564"/>
      <c r="KNT4" s="564"/>
      <c r="KNU4" s="564"/>
      <c r="KNV4" s="564"/>
      <c r="KNW4" s="564"/>
      <c r="KNX4" s="564"/>
      <c r="KNY4" s="564"/>
      <c r="KNZ4" s="564"/>
      <c r="KOA4" s="564"/>
      <c r="KOB4" s="564"/>
      <c r="KOC4" s="564"/>
      <c r="KOD4" s="564"/>
      <c r="KOE4" s="564"/>
      <c r="KOF4" s="564"/>
      <c r="KOG4" s="564"/>
      <c r="KOH4" s="564"/>
      <c r="KOI4" s="564"/>
      <c r="KOJ4" s="564"/>
      <c r="KOK4" s="564"/>
      <c r="KOL4" s="564"/>
      <c r="KOM4" s="564"/>
      <c r="KON4" s="564"/>
      <c r="KOO4" s="564"/>
      <c r="KOP4" s="564"/>
      <c r="KOQ4" s="564"/>
      <c r="KOR4" s="564"/>
      <c r="KOS4" s="564"/>
      <c r="KOT4" s="564"/>
      <c r="KOU4" s="564"/>
      <c r="KOV4" s="564"/>
      <c r="KOW4" s="564"/>
      <c r="KOX4" s="564"/>
      <c r="KOY4" s="564"/>
      <c r="KOZ4" s="564"/>
      <c r="KPA4" s="564"/>
      <c r="KPB4" s="564"/>
      <c r="KPC4" s="564"/>
      <c r="KPD4" s="564"/>
      <c r="KPE4" s="564"/>
      <c r="KPF4" s="564"/>
      <c r="KPG4" s="564"/>
      <c r="KPH4" s="564"/>
      <c r="KPI4" s="564"/>
      <c r="KPJ4" s="564"/>
      <c r="KPK4" s="564"/>
      <c r="KPL4" s="564"/>
      <c r="KPM4" s="564"/>
      <c r="KPN4" s="564"/>
      <c r="KPO4" s="564"/>
      <c r="KPP4" s="564"/>
      <c r="KPQ4" s="564"/>
      <c r="KPR4" s="564"/>
      <c r="KPS4" s="564"/>
      <c r="KPT4" s="564"/>
      <c r="KPU4" s="564"/>
      <c r="KPV4" s="564"/>
      <c r="KPW4" s="564"/>
      <c r="KPX4" s="564"/>
      <c r="KPY4" s="564"/>
      <c r="KPZ4" s="564"/>
      <c r="KQA4" s="564"/>
      <c r="KQB4" s="564"/>
      <c r="KQC4" s="564"/>
      <c r="KQD4" s="564"/>
      <c r="KQE4" s="564"/>
      <c r="KQF4" s="564"/>
      <c r="KQG4" s="564"/>
      <c r="KQH4" s="564"/>
      <c r="KQI4" s="564"/>
      <c r="KQJ4" s="564"/>
      <c r="KQK4" s="564"/>
      <c r="KQL4" s="564"/>
      <c r="KQM4" s="564"/>
      <c r="KQN4" s="564"/>
      <c r="KQO4" s="564"/>
      <c r="KQP4" s="564"/>
      <c r="KQQ4" s="564"/>
      <c r="KQR4" s="564"/>
      <c r="KQS4" s="564"/>
      <c r="KQT4" s="564"/>
      <c r="KQU4" s="564"/>
      <c r="KQV4" s="564"/>
      <c r="KQW4" s="564"/>
      <c r="KQX4" s="564"/>
      <c r="KQY4" s="564"/>
      <c r="KQZ4" s="564"/>
      <c r="KRA4" s="564"/>
      <c r="KRB4" s="564"/>
      <c r="KRC4" s="564"/>
      <c r="KRD4" s="564"/>
      <c r="KRE4" s="564"/>
      <c r="KRF4" s="564"/>
      <c r="KRG4" s="564"/>
      <c r="KRH4" s="564"/>
      <c r="KRI4" s="564"/>
      <c r="KRJ4" s="564"/>
      <c r="KRK4" s="564"/>
      <c r="KRL4" s="564"/>
      <c r="KRM4" s="564"/>
      <c r="KRN4" s="564"/>
      <c r="KRO4" s="564"/>
      <c r="KRP4" s="564"/>
      <c r="KRQ4" s="564"/>
      <c r="KRR4" s="564"/>
      <c r="KRS4" s="564"/>
      <c r="KRT4" s="564"/>
      <c r="KRU4" s="564"/>
      <c r="KRV4" s="564"/>
      <c r="KRW4" s="564"/>
      <c r="KRX4" s="564"/>
      <c r="KRY4" s="564"/>
      <c r="KRZ4" s="564"/>
      <c r="KSA4" s="564"/>
      <c r="KSB4" s="564"/>
      <c r="KSC4" s="564"/>
      <c r="KSD4" s="564"/>
      <c r="KSE4" s="564"/>
      <c r="KSF4" s="564"/>
      <c r="KSG4" s="564"/>
      <c r="KSH4" s="564"/>
      <c r="KSI4" s="564"/>
      <c r="KSJ4" s="564"/>
      <c r="KSK4" s="564"/>
      <c r="KSL4" s="564"/>
      <c r="KSM4" s="564"/>
      <c r="KSN4" s="564"/>
      <c r="KSO4" s="564"/>
      <c r="KSP4" s="564"/>
      <c r="KSQ4" s="564"/>
      <c r="KSR4" s="564"/>
      <c r="KSS4" s="564"/>
      <c r="KST4" s="564"/>
      <c r="KSU4" s="564"/>
      <c r="KSV4" s="564"/>
      <c r="KSW4" s="564"/>
      <c r="KSX4" s="564"/>
      <c r="KSY4" s="564"/>
      <c r="KSZ4" s="564"/>
      <c r="KTA4" s="564"/>
      <c r="KTB4" s="564"/>
      <c r="KTC4" s="564"/>
      <c r="KTD4" s="564"/>
      <c r="KTE4" s="564"/>
      <c r="KTF4" s="564"/>
      <c r="KTG4" s="564"/>
      <c r="KTH4" s="564"/>
      <c r="KTI4" s="564"/>
      <c r="KTJ4" s="564"/>
      <c r="KTK4" s="564"/>
      <c r="KTL4" s="564"/>
      <c r="KTM4" s="564"/>
      <c r="KTN4" s="564"/>
      <c r="KTO4" s="564"/>
      <c r="KTP4" s="564"/>
      <c r="KTQ4" s="564"/>
      <c r="KTR4" s="564"/>
      <c r="KTS4" s="564"/>
      <c r="KTT4" s="564"/>
      <c r="KTU4" s="564"/>
      <c r="KTV4" s="564"/>
      <c r="KTW4" s="564"/>
      <c r="KTX4" s="564"/>
      <c r="KTY4" s="564"/>
      <c r="KTZ4" s="564"/>
      <c r="KUA4" s="564"/>
      <c r="KUB4" s="564"/>
      <c r="KUC4" s="564"/>
      <c r="KUD4" s="564"/>
      <c r="KUE4" s="564"/>
      <c r="KUF4" s="564"/>
      <c r="KUG4" s="564"/>
      <c r="KUH4" s="564"/>
      <c r="KUI4" s="564"/>
      <c r="KUJ4" s="564"/>
      <c r="KUK4" s="564"/>
      <c r="KUL4" s="564"/>
      <c r="KUM4" s="564"/>
      <c r="KUN4" s="564"/>
      <c r="KUO4" s="564"/>
      <c r="KUP4" s="564"/>
      <c r="KUQ4" s="564"/>
      <c r="KUR4" s="564"/>
      <c r="KUS4" s="564"/>
      <c r="KUT4" s="564"/>
      <c r="KUU4" s="564"/>
      <c r="KUV4" s="564"/>
      <c r="KUW4" s="564"/>
      <c r="KUX4" s="564"/>
      <c r="KUY4" s="564"/>
      <c r="KUZ4" s="564"/>
      <c r="KVA4" s="564"/>
      <c r="KVB4" s="564"/>
      <c r="KVC4" s="564"/>
      <c r="KVD4" s="564"/>
      <c r="KVE4" s="564"/>
      <c r="KVF4" s="564"/>
      <c r="KVG4" s="564"/>
      <c r="KVH4" s="564"/>
      <c r="KVI4" s="564"/>
      <c r="KVJ4" s="564"/>
      <c r="KVK4" s="564"/>
      <c r="KVL4" s="564"/>
      <c r="KVM4" s="564"/>
      <c r="KVN4" s="564"/>
      <c r="KVO4" s="564"/>
      <c r="KVP4" s="564"/>
      <c r="KVQ4" s="564"/>
      <c r="KVR4" s="564"/>
      <c r="KVS4" s="564"/>
      <c r="KVT4" s="564"/>
      <c r="KVU4" s="564"/>
      <c r="KVV4" s="564"/>
      <c r="KVW4" s="564"/>
      <c r="KVX4" s="564"/>
      <c r="KVY4" s="564"/>
      <c r="KVZ4" s="564"/>
      <c r="KWA4" s="564"/>
      <c r="KWB4" s="564"/>
      <c r="KWC4" s="564"/>
      <c r="KWD4" s="564"/>
      <c r="KWE4" s="564"/>
      <c r="KWF4" s="564"/>
      <c r="KWG4" s="564"/>
      <c r="KWH4" s="564"/>
      <c r="KWI4" s="564"/>
      <c r="KWJ4" s="564"/>
      <c r="KWK4" s="564"/>
      <c r="KWL4" s="564"/>
      <c r="KWM4" s="564"/>
      <c r="KWN4" s="564"/>
      <c r="KWO4" s="564"/>
      <c r="KWP4" s="564"/>
      <c r="KWQ4" s="564"/>
      <c r="KWR4" s="564"/>
      <c r="KWS4" s="564"/>
      <c r="KWT4" s="564"/>
      <c r="KWU4" s="564"/>
      <c r="KWV4" s="564"/>
      <c r="KWW4" s="564"/>
      <c r="KWX4" s="564"/>
      <c r="KWY4" s="564"/>
      <c r="KWZ4" s="564"/>
      <c r="KXA4" s="564"/>
      <c r="KXB4" s="564"/>
      <c r="KXC4" s="564"/>
      <c r="KXD4" s="564"/>
      <c r="KXE4" s="564"/>
      <c r="KXF4" s="564"/>
      <c r="KXG4" s="564"/>
      <c r="KXH4" s="564"/>
      <c r="KXI4" s="564"/>
      <c r="KXJ4" s="564"/>
      <c r="KXK4" s="564"/>
      <c r="KXL4" s="564"/>
      <c r="KXM4" s="564"/>
      <c r="KXN4" s="564"/>
      <c r="KXO4" s="564"/>
      <c r="KXP4" s="564"/>
      <c r="KXQ4" s="564"/>
      <c r="KXR4" s="564"/>
      <c r="KXS4" s="564"/>
      <c r="KXT4" s="564"/>
      <c r="KXU4" s="564"/>
      <c r="KXV4" s="564"/>
      <c r="KXW4" s="564"/>
      <c r="KXX4" s="564"/>
      <c r="KXY4" s="564"/>
      <c r="KXZ4" s="564"/>
      <c r="KYA4" s="564"/>
      <c r="KYB4" s="564"/>
      <c r="KYC4" s="564"/>
      <c r="KYD4" s="564"/>
      <c r="KYE4" s="564"/>
      <c r="KYF4" s="564"/>
      <c r="KYG4" s="564"/>
      <c r="KYH4" s="564"/>
      <c r="KYI4" s="564"/>
      <c r="KYJ4" s="564"/>
      <c r="KYK4" s="564"/>
      <c r="KYL4" s="564"/>
      <c r="KYM4" s="564"/>
      <c r="KYN4" s="564"/>
      <c r="KYO4" s="564"/>
      <c r="KYP4" s="564"/>
      <c r="KYQ4" s="564"/>
      <c r="KYR4" s="564"/>
      <c r="KYS4" s="564"/>
      <c r="KYT4" s="564"/>
      <c r="KYU4" s="564"/>
      <c r="KYV4" s="564"/>
      <c r="KYW4" s="564"/>
      <c r="KYX4" s="564"/>
      <c r="KYY4" s="564"/>
      <c r="KYZ4" s="564"/>
      <c r="KZA4" s="564"/>
      <c r="KZB4" s="564"/>
      <c r="KZC4" s="564"/>
      <c r="KZD4" s="564"/>
      <c r="KZE4" s="564"/>
      <c r="KZF4" s="564"/>
      <c r="KZG4" s="564"/>
      <c r="KZH4" s="564"/>
      <c r="KZI4" s="564"/>
      <c r="KZJ4" s="564"/>
      <c r="KZK4" s="564"/>
      <c r="KZL4" s="564"/>
      <c r="KZM4" s="564"/>
      <c r="KZN4" s="564"/>
      <c r="KZO4" s="564"/>
      <c r="KZP4" s="564"/>
      <c r="KZQ4" s="564"/>
      <c r="KZR4" s="564"/>
      <c r="KZS4" s="564"/>
      <c r="KZT4" s="564"/>
      <c r="KZU4" s="564"/>
      <c r="KZV4" s="564"/>
      <c r="KZW4" s="564"/>
      <c r="KZX4" s="564"/>
      <c r="KZY4" s="564"/>
      <c r="KZZ4" s="564"/>
      <c r="LAA4" s="564"/>
      <c r="LAB4" s="564"/>
      <c r="LAC4" s="564"/>
      <c r="LAD4" s="564"/>
      <c r="LAE4" s="564"/>
      <c r="LAF4" s="564"/>
      <c r="LAG4" s="564"/>
      <c r="LAH4" s="564"/>
      <c r="LAI4" s="564"/>
      <c r="LAJ4" s="564"/>
      <c r="LAK4" s="564"/>
      <c r="LAL4" s="564"/>
      <c r="LAM4" s="564"/>
      <c r="LAN4" s="564"/>
      <c r="LAO4" s="564"/>
      <c r="LAP4" s="564"/>
      <c r="LAQ4" s="564"/>
      <c r="LAR4" s="564"/>
      <c r="LAS4" s="564"/>
      <c r="LAT4" s="564"/>
      <c r="LAU4" s="564"/>
      <c r="LAV4" s="564"/>
      <c r="LAW4" s="564"/>
      <c r="LAX4" s="564"/>
      <c r="LAY4" s="564"/>
      <c r="LAZ4" s="564"/>
      <c r="LBA4" s="564"/>
      <c r="LBB4" s="564"/>
      <c r="LBC4" s="564"/>
      <c r="LBD4" s="564"/>
      <c r="LBE4" s="564"/>
      <c r="LBF4" s="564"/>
      <c r="LBG4" s="564"/>
      <c r="LBH4" s="564"/>
      <c r="LBI4" s="564"/>
      <c r="LBJ4" s="564"/>
      <c r="LBK4" s="564"/>
      <c r="LBL4" s="564"/>
      <c r="LBM4" s="564"/>
      <c r="LBN4" s="564"/>
      <c r="LBO4" s="564"/>
      <c r="LBP4" s="564"/>
      <c r="LBQ4" s="564"/>
      <c r="LBR4" s="564"/>
      <c r="LBS4" s="564"/>
      <c r="LBT4" s="564"/>
      <c r="LBU4" s="564"/>
      <c r="LBV4" s="564"/>
      <c r="LBW4" s="564"/>
      <c r="LBX4" s="564"/>
      <c r="LBY4" s="564"/>
      <c r="LBZ4" s="564"/>
      <c r="LCA4" s="564"/>
      <c r="LCB4" s="564"/>
      <c r="LCC4" s="564"/>
      <c r="LCD4" s="564"/>
      <c r="LCE4" s="564"/>
      <c r="LCF4" s="564"/>
      <c r="LCG4" s="564"/>
      <c r="LCH4" s="564"/>
      <c r="LCI4" s="564"/>
      <c r="LCJ4" s="564"/>
      <c r="LCK4" s="564"/>
      <c r="LCL4" s="564"/>
      <c r="LCM4" s="564"/>
      <c r="LCN4" s="564"/>
      <c r="LCO4" s="564"/>
      <c r="LCP4" s="564"/>
      <c r="LCQ4" s="564"/>
      <c r="LCR4" s="564"/>
      <c r="LCS4" s="564"/>
      <c r="LCT4" s="564"/>
      <c r="LCU4" s="564"/>
      <c r="LCV4" s="564"/>
      <c r="LCW4" s="564"/>
      <c r="LCX4" s="564"/>
      <c r="LCY4" s="564"/>
      <c r="LCZ4" s="564"/>
      <c r="LDA4" s="564"/>
      <c r="LDB4" s="564"/>
      <c r="LDC4" s="564"/>
      <c r="LDD4" s="564"/>
      <c r="LDE4" s="564"/>
      <c r="LDF4" s="564"/>
      <c r="LDG4" s="564"/>
      <c r="LDH4" s="564"/>
      <c r="LDI4" s="564"/>
      <c r="LDJ4" s="564"/>
      <c r="LDK4" s="564"/>
      <c r="LDL4" s="564"/>
      <c r="LDM4" s="564"/>
      <c r="LDN4" s="564"/>
      <c r="LDO4" s="564"/>
      <c r="LDP4" s="564"/>
      <c r="LDQ4" s="564"/>
      <c r="LDR4" s="564"/>
      <c r="LDS4" s="564"/>
      <c r="LDT4" s="564"/>
      <c r="LDU4" s="564"/>
      <c r="LDV4" s="564"/>
      <c r="LDW4" s="564"/>
      <c r="LDX4" s="564"/>
      <c r="LDY4" s="564"/>
      <c r="LDZ4" s="564"/>
      <c r="LEA4" s="564"/>
      <c r="LEB4" s="564"/>
      <c r="LEC4" s="564"/>
      <c r="LED4" s="564"/>
      <c r="LEE4" s="564"/>
      <c r="LEF4" s="564"/>
      <c r="LEG4" s="564"/>
      <c r="LEH4" s="564"/>
      <c r="LEI4" s="564"/>
      <c r="LEJ4" s="564"/>
      <c r="LEK4" s="564"/>
      <c r="LEL4" s="564"/>
      <c r="LEM4" s="564"/>
      <c r="LEN4" s="564"/>
      <c r="LEO4" s="564"/>
      <c r="LEP4" s="564"/>
      <c r="LEQ4" s="564"/>
      <c r="LER4" s="564"/>
      <c r="LES4" s="564"/>
      <c r="LET4" s="564"/>
      <c r="LEU4" s="564"/>
      <c r="LEV4" s="564"/>
      <c r="LEW4" s="564"/>
      <c r="LEX4" s="564"/>
      <c r="LEY4" s="564"/>
      <c r="LEZ4" s="564"/>
      <c r="LFA4" s="564"/>
      <c r="LFB4" s="564"/>
      <c r="LFC4" s="564"/>
      <c r="LFD4" s="564"/>
      <c r="LFE4" s="564"/>
      <c r="LFF4" s="564"/>
      <c r="LFG4" s="564"/>
      <c r="LFH4" s="564"/>
      <c r="LFI4" s="564"/>
      <c r="LFJ4" s="564"/>
      <c r="LFK4" s="564"/>
      <c r="LFL4" s="564"/>
      <c r="LFM4" s="564"/>
      <c r="LFN4" s="564"/>
      <c r="LFO4" s="564"/>
      <c r="LFP4" s="564"/>
      <c r="LFQ4" s="564"/>
      <c r="LFR4" s="564"/>
      <c r="LFS4" s="564"/>
      <c r="LFT4" s="564"/>
      <c r="LFU4" s="564"/>
      <c r="LFV4" s="564"/>
      <c r="LFW4" s="564"/>
      <c r="LFX4" s="564"/>
      <c r="LFY4" s="564"/>
      <c r="LFZ4" s="564"/>
      <c r="LGA4" s="564"/>
      <c r="LGB4" s="564"/>
      <c r="LGC4" s="564"/>
      <c r="LGD4" s="564"/>
      <c r="LGE4" s="564"/>
      <c r="LGF4" s="564"/>
      <c r="LGG4" s="564"/>
      <c r="LGH4" s="564"/>
      <c r="LGI4" s="564"/>
      <c r="LGJ4" s="564"/>
      <c r="LGK4" s="564"/>
      <c r="LGL4" s="564"/>
      <c r="LGM4" s="564"/>
      <c r="LGN4" s="564"/>
      <c r="LGO4" s="564"/>
      <c r="LGP4" s="564"/>
      <c r="LGQ4" s="564"/>
      <c r="LGR4" s="564"/>
      <c r="LGS4" s="564"/>
      <c r="LGT4" s="564"/>
      <c r="LGU4" s="564"/>
      <c r="LGV4" s="564"/>
      <c r="LGW4" s="564"/>
      <c r="LGX4" s="564"/>
      <c r="LGY4" s="564"/>
      <c r="LGZ4" s="564"/>
      <c r="LHA4" s="564"/>
      <c r="LHB4" s="564"/>
      <c r="LHC4" s="564"/>
      <c r="LHD4" s="564"/>
      <c r="LHE4" s="564"/>
      <c r="LHF4" s="564"/>
      <c r="LHG4" s="564"/>
      <c r="LHH4" s="564"/>
      <c r="LHI4" s="564"/>
      <c r="LHJ4" s="564"/>
      <c r="LHK4" s="564"/>
      <c r="LHL4" s="564"/>
      <c r="LHM4" s="564"/>
      <c r="LHN4" s="564"/>
      <c r="LHO4" s="564"/>
      <c r="LHP4" s="564"/>
      <c r="LHQ4" s="564"/>
      <c r="LHR4" s="564"/>
      <c r="LHS4" s="564"/>
      <c r="LHT4" s="564"/>
      <c r="LHU4" s="564"/>
      <c r="LHV4" s="564"/>
      <c r="LHW4" s="564"/>
      <c r="LHX4" s="564"/>
      <c r="LHY4" s="564"/>
      <c r="LHZ4" s="564"/>
      <c r="LIA4" s="564"/>
      <c r="LIB4" s="564"/>
      <c r="LIC4" s="564"/>
      <c r="LID4" s="564"/>
      <c r="LIE4" s="564"/>
      <c r="LIF4" s="564"/>
      <c r="LIG4" s="564"/>
      <c r="LIH4" s="564"/>
      <c r="LII4" s="564"/>
      <c r="LIJ4" s="564"/>
      <c r="LIK4" s="564"/>
      <c r="LIL4" s="564"/>
      <c r="LIM4" s="564"/>
      <c r="LIN4" s="564"/>
      <c r="LIO4" s="564"/>
      <c r="LIP4" s="564"/>
      <c r="LIQ4" s="564"/>
      <c r="LIR4" s="564"/>
      <c r="LIS4" s="564"/>
      <c r="LIT4" s="564"/>
      <c r="LIU4" s="564"/>
      <c r="LIV4" s="564"/>
      <c r="LIW4" s="564"/>
      <c r="LIX4" s="564"/>
      <c r="LIY4" s="564"/>
      <c r="LIZ4" s="564"/>
      <c r="LJA4" s="564"/>
      <c r="LJB4" s="564"/>
      <c r="LJC4" s="564"/>
      <c r="LJD4" s="564"/>
      <c r="LJE4" s="564"/>
      <c r="LJF4" s="564"/>
      <c r="LJG4" s="564"/>
      <c r="LJH4" s="564"/>
      <c r="LJI4" s="564"/>
      <c r="LJJ4" s="564"/>
      <c r="LJK4" s="564"/>
      <c r="LJL4" s="564"/>
      <c r="LJM4" s="564"/>
      <c r="LJN4" s="564"/>
      <c r="LJO4" s="564"/>
      <c r="LJP4" s="564"/>
      <c r="LJQ4" s="564"/>
      <c r="LJR4" s="564"/>
      <c r="LJS4" s="564"/>
      <c r="LJT4" s="564"/>
      <c r="LJU4" s="564"/>
      <c r="LJV4" s="564"/>
      <c r="LJW4" s="564"/>
      <c r="LJX4" s="564"/>
      <c r="LJY4" s="564"/>
      <c r="LJZ4" s="564"/>
      <c r="LKA4" s="564"/>
      <c r="LKB4" s="564"/>
      <c r="LKC4" s="564"/>
      <c r="LKD4" s="564"/>
      <c r="LKE4" s="564"/>
      <c r="LKF4" s="564"/>
      <c r="LKG4" s="564"/>
      <c r="LKH4" s="564"/>
      <c r="LKI4" s="564"/>
      <c r="LKJ4" s="564"/>
      <c r="LKK4" s="564"/>
      <c r="LKL4" s="564"/>
      <c r="LKM4" s="564"/>
      <c r="LKN4" s="564"/>
      <c r="LKO4" s="564"/>
      <c r="LKP4" s="564"/>
      <c r="LKQ4" s="564"/>
      <c r="LKR4" s="564"/>
      <c r="LKS4" s="564"/>
      <c r="LKT4" s="564"/>
      <c r="LKU4" s="564"/>
      <c r="LKV4" s="564"/>
      <c r="LKW4" s="564"/>
      <c r="LKX4" s="564"/>
      <c r="LKY4" s="564"/>
      <c r="LKZ4" s="564"/>
      <c r="LLA4" s="564"/>
      <c r="LLB4" s="564"/>
      <c r="LLC4" s="564"/>
      <c r="LLD4" s="564"/>
      <c r="LLE4" s="564"/>
      <c r="LLF4" s="564"/>
      <c r="LLG4" s="564"/>
      <c r="LLH4" s="564"/>
      <c r="LLI4" s="564"/>
      <c r="LLJ4" s="564"/>
      <c r="LLK4" s="564"/>
      <c r="LLL4" s="564"/>
      <c r="LLM4" s="564"/>
      <c r="LLN4" s="564"/>
      <c r="LLO4" s="564"/>
      <c r="LLP4" s="564"/>
      <c r="LLQ4" s="564"/>
      <c r="LLR4" s="564"/>
      <c r="LLS4" s="564"/>
      <c r="LLT4" s="564"/>
      <c r="LLU4" s="564"/>
      <c r="LLV4" s="564"/>
      <c r="LLW4" s="564"/>
      <c r="LLX4" s="564"/>
      <c r="LLY4" s="564"/>
      <c r="LLZ4" s="564"/>
      <c r="LMA4" s="564"/>
      <c r="LMB4" s="564"/>
      <c r="LMC4" s="564"/>
      <c r="LMD4" s="564"/>
      <c r="LME4" s="564"/>
      <c r="LMF4" s="564"/>
      <c r="LMG4" s="564"/>
      <c r="LMH4" s="564"/>
      <c r="LMI4" s="564"/>
      <c r="LMJ4" s="564"/>
      <c r="LMK4" s="564"/>
      <c r="LML4" s="564"/>
      <c r="LMM4" s="564"/>
      <c r="LMN4" s="564"/>
      <c r="LMO4" s="564"/>
      <c r="LMP4" s="564"/>
      <c r="LMQ4" s="564"/>
      <c r="LMR4" s="564"/>
      <c r="LMS4" s="564"/>
      <c r="LMT4" s="564"/>
      <c r="LMU4" s="564"/>
      <c r="LMV4" s="564"/>
      <c r="LMW4" s="564"/>
      <c r="LMX4" s="564"/>
      <c r="LMY4" s="564"/>
      <c r="LMZ4" s="564"/>
      <c r="LNA4" s="564"/>
      <c r="LNB4" s="564"/>
      <c r="LNC4" s="564"/>
      <c r="LND4" s="564"/>
      <c r="LNE4" s="564"/>
      <c r="LNF4" s="564"/>
      <c r="LNG4" s="564"/>
      <c r="LNH4" s="564"/>
      <c r="LNI4" s="564"/>
      <c r="LNJ4" s="564"/>
      <c r="LNK4" s="564"/>
      <c r="LNL4" s="564"/>
      <c r="LNM4" s="564"/>
      <c r="LNN4" s="564"/>
      <c r="LNO4" s="564"/>
      <c r="LNP4" s="564"/>
      <c r="LNQ4" s="564"/>
      <c r="LNR4" s="564"/>
      <c r="LNS4" s="564"/>
      <c r="LNT4" s="564"/>
      <c r="LNU4" s="564"/>
      <c r="LNV4" s="564"/>
      <c r="LNW4" s="564"/>
      <c r="LNX4" s="564"/>
      <c r="LNY4" s="564"/>
      <c r="LNZ4" s="564"/>
      <c r="LOA4" s="564"/>
      <c r="LOB4" s="564"/>
      <c r="LOC4" s="564"/>
      <c r="LOD4" s="564"/>
      <c r="LOE4" s="564"/>
      <c r="LOF4" s="564"/>
      <c r="LOG4" s="564"/>
      <c r="LOH4" s="564"/>
      <c r="LOI4" s="564"/>
      <c r="LOJ4" s="564"/>
      <c r="LOK4" s="564"/>
      <c r="LOL4" s="564"/>
      <c r="LOM4" s="564"/>
      <c r="LON4" s="564"/>
      <c r="LOO4" s="564"/>
      <c r="LOP4" s="564"/>
      <c r="LOQ4" s="564"/>
      <c r="LOR4" s="564"/>
      <c r="LOS4" s="564"/>
      <c r="LOT4" s="564"/>
      <c r="LOU4" s="564"/>
      <c r="LOV4" s="564"/>
      <c r="LOW4" s="564"/>
      <c r="LOX4" s="564"/>
      <c r="LOY4" s="564"/>
      <c r="LOZ4" s="564"/>
      <c r="LPA4" s="564"/>
      <c r="LPB4" s="564"/>
      <c r="LPC4" s="564"/>
      <c r="LPD4" s="564"/>
      <c r="LPE4" s="564"/>
      <c r="LPF4" s="564"/>
      <c r="LPG4" s="564"/>
      <c r="LPH4" s="564"/>
      <c r="LPI4" s="564"/>
      <c r="LPJ4" s="564"/>
      <c r="LPK4" s="564"/>
      <c r="LPL4" s="564"/>
      <c r="LPM4" s="564"/>
      <c r="LPN4" s="564"/>
      <c r="LPO4" s="564"/>
      <c r="LPP4" s="564"/>
      <c r="LPQ4" s="564"/>
      <c r="LPR4" s="564"/>
      <c r="LPS4" s="564"/>
      <c r="LPT4" s="564"/>
      <c r="LPU4" s="564"/>
      <c r="LPV4" s="564"/>
      <c r="LPW4" s="564"/>
      <c r="LPX4" s="564"/>
      <c r="LPY4" s="564"/>
      <c r="LPZ4" s="564"/>
      <c r="LQA4" s="564"/>
      <c r="LQB4" s="564"/>
      <c r="LQC4" s="564"/>
      <c r="LQD4" s="564"/>
      <c r="LQE4" s="564"/>
      <c r="LQF4" s="564"/>
      <c r="LQG4" s="564"/>
      <c r="LQH4" s="564"/>
      <c r="LQI4" s="564"/>
      <c r="LQJ4" s="564"/>
      <c r="LQK4" s="564"/>
      <c r="LQL4" s="564"/>
      <c r="LQM4" s="564"/>
      <c r="LQN4" s="564"/>
      <c r="LQO4" s="564"/>
      <c r="LQP4" s="564"/>
      <c r="LQQ4" s="564"/>
      <c r="LQR4" s="564"/>
      <c r="LQS4" s="564"/>
      <c r="LQT4" s="564"/>
      <c r="LQU4" s="564"/>
      <c r="LQV4" s="564"/>
      <c r="LQW4" s="564"/>
      <c r="LQX4" s="564"/>
      <c r="LQY4" s="564"/>
      <c r="LQZ4" s="564"/>
      <c r="LRA4" s="564"/>
      <c r="LRB4" s="564"/>
      <c r="LRC4" s="564"/>
      <c r="LRD4" s="564"/>
      <c r="LRE4" s="564"/>
      <c r="LRF4" s="564"/>
      <c r="LRG4" s="564"/>
      <c r="LRH4" s="564"/>
      <c r="LRI4" s="564"/>
      <c r="LRJ4" s="564"/>
      <c r="LRK4" s="564"/>
      <c r="LRL4" s="564"/>
      <c r="LRM4" s="564"/>
      <c r="LRN4" s="564"/>
      <c r="LRO4" s="564"/>
      <c r="LRP4" s="564"/>
      <c r="LRQ4" s="564"/>
      <c r="LRR4" s="564"/>
      <c r="LRS4" s="564"/>
      <c r="LRT4" s="564"/>
      <c r="LRU4" s="564"/>
      <c r="LRV4" s="564"/>
      <c r="LRW4" s="564"/>
      <c r="LRX4" s="564"/>
      <c r="LRY4" s="564"/>
      <c r="LRZ4" s="564"/>
      <c r="LSA4" s="564"/>
      <c r="LSB4" s="564"/>
      <c r="LSC4" s="564"/>
      <c r="LSD4" s="564"/>
      <c r="LSE4" s="564"/>
      <c r="LSF4" s="564"/>
      <c r="LSG4" s="564"/>
      <c r="LSH4" s="564"/>
      <c r="LSI4" s="564"/>
      <c r="LSJ4" s="564"/>
      <c r="LSK4" s="564"/>
      <c r="LSL4" s="564"/>
      <c r="LSM4" s="564"/>
      <c r="LSN4" s="564"/>
      <c r="LSO4" s="564"/>
      <c r="LSP4" s="564"/>
      <c r="LSQ4" s="564"/>
      <c r="LSR4" s="564"/>
      <c r="LSS4" s="564"/>
      <c r="LST4" s="564"/>
      <c r="LSU4" s="564"/>
      <c r="LSV4" s="564"/>
      <c r="LSW4" s="564"/>
      <c r="LSX4" s="564"/>
      <c r="LSY4" s="564"/>
      <c r="LSZ4" s="564"/>
      <c r="LTA4" s="564"/>
      <c r="LTB4" s="564"/>
      <c r="LTC4" s="564"/>
      <c r="LTD4" s="564"/>
      <c r="LTE4" s="564"/>
      <c r="LTF4" s="564"/>
      <c r="LTG4" s="564"/>
      <c r="LTH4" s="564"/>
      <c r="LTI4" s="564"/>
      <c r="LTJ4" s="564"/>
      <c r="LTK4" s="564"/>
      <c r="LTL4" s="564"/>
      <c r="LTM4" s="564"/>
      <c r="LTN4" s="564"/>
      <c r="LTO4" s="564"/>
      <c r="LTP4" s="564"/>
      <c r="LTQ4" s="564"/>
      <c r="LTR4" s="564"/>
      <c r="LTS4" s="564"/>
      <c r="LTT4" s="564"/>
      <c r="LTU4" s="564"/>
      <c r="LTV4" s="564"/>
      <c r="LTW4" s="564"/>
      <c r="LTX4" s="564"/>
      <c r="LTY4" s="564"/>
      <c r="LTZ4" s="564"/>
      <c r="LUA4" s="564"/>
      <c r="LUB4" s="564"/>
      <c r="LUC4" s="564"/>
      <c r="LUD4" s="564"/>
      <c r="LUE4" s="564"/>
      <c r="LUF4" s="564"/>
      <c r="LUG4" s="564"/>
      <c r="LUH4" s="564"/>
      <c r="LUI4" s="564"/>
      <c r="LUJ4" s="564"/>
      <c r="LUK4" s="564"/>
      <c r="LUL4" s="564"/>
      <c r="LUM4" s="564"/>
      <c r="LUN4" s="564"/>
      <c r="LUO4" s="564"/>
      <c r="LUP4" s="564"/>
      <c r="LUQ4" s="564"/>
      <c r="LUR4" s="564"/>
      <c r="LUS4" s="564"/>
      <c r="LUT4" s="564"/>
      <c r="LUU4" s="564"/>
      <c r="LUV4" s="564"/>
      <c r="LUW4" s="564"/>
      <c r="LUX4" s="564"/>
      <c r="LUY4" s="564"/>
      <c r="LUZ4" s="564"/>
      <c r="LVA4" s="564"/>
      <c r="LVB4" s="564"/>
      <c r="LVC4" s="564"/>
      <c r="LVD4" s="564"/>
      <c r="LVE4" s="564"/>
      <c r="LVF4" s="564"/>
      <c r="LVG4" s="564"/>
      <c r="LVH4" s="564"/>
      <c r="LVI4" s="564"/>
      <c r="LVJ4" s="564"/>
      <c r="LVK4" s="564"/>
      <c r="LVL4" s="564"/>
      <c r="LVM4" s="564"/>
      <c r="LVN4" s="564"/>
      <c r="LVO4" s="564"/>
      <c r="LVP4" s="564"/>
      <c r="LVQ4" s="564"/>
      <c r="LVR4" s="564"/>
      <c r="LVS4" s="564"/>
      <c r="LVT4" s="564"/>
      <c r="LVU4" s="564"/>
      <c r="LVV4" s="564"/>
      <c r="LVW4" s="564"/>
      <c r="LVX4" s="564"/>
      <c r="LVY4" s="564"/>
      <c r="LVZ4" s="564"/>
      <c r="LWA4" s="564"/>
      <c r="LWB4" s="564"/>
      <c r="LWC4" s="564"/>
      <c r="LWD4" s="564"/>
      <c r="LWE4" s="564"/>
      <c r="LWF4" s="564"/>
      <c r="LWG4" s="564"/>
      <c r="LWH4" s="564"/>
      <c r="LWI4" s="564"/>
      <c r="LWJ4" s="564"/>
      <c r="LWK4" s="564"/>
      <c r="LWL4" s="564"/>
      <c r="LWM4" s="564"/>
      <c r="LWN4" s="564"/>
      <c r="LWO4" s="564"/>
      <c r="LWP4" s="564"/>
      <c r="LWQ4" s="564"/>
      <c r="LWR4" s="564"/>
      <c r="LWS4" s="564"/>
      <c r="LWT4" s="564"/>
      <c r="LWU4" s="564"/>
      <c r="LWV4" s="564"/>
      <c r="LWW4" s="564"/>
      <c r="LWX4" s="564"/>
      <c r="LWY4" s="564"/>
      <c r="LWZ4" s="564"/>
      <c r="LXA4" s="564"/>
      <c r="LXB4" s="564"/>
      <c r="LXC4" s="564"/>
      <c r="LXD4" s="564"/>
      <c r="LXE4" s="564"/>
      <c r="LXF4" s="564"/>
      <c r="LXG4" s="564"/>
      <c r="LXH4" s="564"/>
      <c r="LXI4" s="564"/>
      <c r="LXJ4" s="564"/>
      <c r="LXK4" s="564"/>
      <c r="LXL4" s="564"/>
      <c r="LXM4" s="564"/>
      <c r="LXN4" s="564"/>
      <c r="LXO4" s="564"/>
      <c r="LXP4" s="564"/>
      <c r="LXQ4" s="564"/>
      <c r="LXR4" s="564"/>
      <c r="LXS4" s="564"/>
      <c r="LXT4" s="564"/>
      <c r="LXU4" s="564"/>
      <c r="LXV4" s="564"/>
      <c r="LXW4" s="564"/>
      <c r="LXX4" s="564"/>
      <c r="LXY4" s="564"/>
      <c r="LXZ4" s="564"/>
      <c r="LYA4" s="564"/>
      <c r="LYB4" s="564"/>
      <c r="LYC4" s="564"/>
      <c r="LYD4" s="564"/>
      <c r="LYE4" s="564"/>
      <c r="LYF4" s="564"/>
      <c r="LYG4" s="564"/>
      <c r="LYH4" s="564"/>
      <c r="LYI4" s="564"/>
      <c r="LYJ4" s="564"/>
      <c r="LYK4" s="564"/>
      <c r="LYL4" s="564"/>
      <c r="LYM4" s="564"/>
      <c r="LYN4" s="564"/>
      <c r="LYO4" s="564"/>
      <c r="LYP4" s="564"/>
      <c r="LYQ4" s="564"/>
      <c r="LYR4" s="564"/>
      <c r="LYS4" s="564"/>
      <c r="LYT4" s="564"/>
      <c r="LYU4" s="564"/>
      <c r="LYV4" s="564"/>
      <c r="LYW4" s="564"/>
      <c r="LYX4" s="564"/>
      <c r="LYY4" s="564"/>
      <c r="LYZ4" s="564"/>
      <c r="LZA4" s="564"/>
      <c r="LZB4" s="564"/>
      <c r="LZC4" s="564"/>
      <c r="LZD4" s="564"/>
      <c r="LZE4" s="564"/>
      <c r="LZF4" s="564"/>
      <c r="LZG4" s="564"/>
      <c r="LZH4" s="564"/>
      <c r="LZI4" s="564"/>
      <c r="LZJ4" s="564"/>
      <c r="LZK4" s="564"/>
      <c r="LZL4" s="564"/>
      <c r="LZM4" s="564"/>
      <c r="LZN4" s="564"/>
      <c r="LZO4" s="564"/>
      <c r="LZP4" s="564"/>
      <c r="LZQ4" s="564"/>
      <c r="LZR4" s="564"/>
      <c r="LZS4" s="564"/>
      <c r="LZT4" s="564"/>
      <c r="LZU4" s="564"/>
      <c r="LZV4" s="564"/>
      <c r="LZW4" s="564"/>
      <c r="LZX4" s="564"/>
      <c r="LZY4" s="564"/>
      <c r="LZZ4" s="564"/>
      <c r="MAA4" s="564"/>
      <c r="MAB4" s="564"/>
      <c r="MAC4" s="564"/>
      <c r="MAD4" s="564"/>
      <c r="MAE4" s="564"/>
      <c r="MAF4" s="564"/>
      <c r="MAG4" s="564"/>
      <c r="MAH4" s="564"/>
      <c r="MAI4" s="564"/>
      <c r="MAJ4" s="564"/>
      <c r="MAK4" s="564"/>
      <c r="MAL4" s="564"/>
      <c r="MAM4" s="564"/>
      <c r="MAN4" s="564"/>
      <c r="MAO4" s="564"/>
      <c r="MAP4" s="564"/>
      <c r="MAQ4" s="564"/>
      <c r="MAR4" s="564"/>
      <c r="MAS4" s="564"/>
      <c r="MAT4" s="564"/>
      <c r="MAU4" s="564"/>
      <c r="MAV4" s="564"/>
      <c r="MAW4" s="564"/>
      <c r="MAX4" s="564"/>
      <c r="MAY4" s="564"/>
      <c r="MAZ4" s="564"/>
      <c r="MBA4" s="564"/>
      <c r="MBB4" s="564"/>
      <c r="MBC4" s="564"/>
      <c r="MBD4" s="564"/>
      <c r="MBE4" s="564"/>
      <c r="MBF4" s="564"/>
      <c r="MBG4" s="564"/>
      <c r="MBH4" s="564"/>
      <c r="MBI4" s="564"/>
      <c r="MBJ4" s="564"/>
      <c r="MBK4" s="564"/>
      <c r="MBL4" s="564"/>
      <c r="MBM4" s="564"/>
      <c r="MBN4" s="564"/>
      <c r="MBO4" s="564"/>
      <c r="MBP4" s="564"/>
      <c r="MBQ4" s="564"/>
      <c r="MBR4" s="564"/>
      <c r="MBS4" s="564"/>
      <c r="MBT4" s="564"/>
      <c r="MBU4" s="564"/>
      <c r="MBV4" s="564"/>
      <c r="MBW4" s="564"/>
      <c r="MBX4" s="564"/>
      <c r="MBY4" s="564"/>
      <c r="MBZ4" s="564"/>
      <c r="MCA4" s="564"/>
      <c r="MCB4" s="564"/>
      <c r="MCC4" s="564"/>
      <c r="MCD4" s="564"/>
      <c r="MCE4" s="564"/>
      <c r="MCF4" s="564"/>
      <c r="MCG4" s="564"/>
      <c r="MCH4" s="564"/>
      <c r="MCI4" s="564"/>
      <c r="MCJ4" s="564"/>
      <c r="MCK4" s="564"/>
      <c r="MCL4" s="564"/>
      <c r="MCM4" s="564"/>
      <c r="MCN4" s="564"/>
      <c r="MCO4" s="564"/>
      <c r="MCP4" s="564"/>
      <c r="MCQ4" s="564"/>
      <c r="MCR4" s="564"/>
      <c r="MCS4" s="564"/>
      <c r="MCT4" s="564"/>
      <c r="MCU4" s="564"/>
      <c r="MCV4" s="564"/>
      <c r="MCW4" s="564"/>
      <c r="MCX4" s="564"/>
      <c r="MCY4" s="564"/>
      <c r="MCZ4" s="564"/>
      <c r="MDA4" s="564"/>
      <c r="MDB4" s="564"/>
      <c r="MDC4" s="564"/>
      <c r="MDD4" s="564"/>
      <c r="MDE4" s="564"/>
      <c r="MDF4" s="564"/>
      <c r="MDG4" s="564"/>
      <c r="MDH4" s="564"/>
      <c r="MDI4" s="564"/>
      <c r="MDJ4" s="564"/>
      <c r="MDK4" s="564"/>
      <c r="MDL4" s="564"/>
      <c r="MDM4" s="564"/>
      <c r="MDN4" s="564"/>
      <c r="MDO4" s="564"/>
      <c r="MDP4" s="564"/>
      <c r="MDQ4" s="564"/>
      <c r="MDR4" s="564"/>
      <c r="MDS4" s="564"/>
      <c r="MDT4" s="564"/>
      <c r="MDU4" s="564"/>
      <c r="MDV4" s="564"/>
      <c r="MDW4" s="564"/>
      <c r="MDX4" s="564"/>
      <c r="MDY4" s="564"/>
      <c r="MDZ4" s="564"/>
      <c r="MEA4" s="564"/>
      <c r="MEB4" s="564"/>
      <c r="MEC4" s="564"/>
      <c r="MED4" s="564"/>
      <c r="MEE4" s="564"/>
      <c r="MEF4" s="564"/>
      <c r="MEG4" s="564"/>
      <c r="MEH4" s="564"/>
      <c r="MEI4" s="564"/>
      <c r="MEJ4" s="564"/>
      <c r="MEK4" s="564"/>
      <c r="MEL4" s="564"/>
      <c r="MEM4" s="564"/>
      <c r="MEN4" s="564"/>
      <c r="MEO4" s="564"/>
      <c r="MEP4" s="564"/>
      <c r="MEQ4" s="564"/>
      <c r="MER4" s="564"/>
      <c r="MES4" s="564"/>
      <c r="MET4" s="564"/>
      <c r="MEU4" s="564"/>
      <c r="MEV4" s="564"/>
      <c r="MEW4" s="564"/>
      <c r="MEX4" s="564"/>
      <c r="MEY4" s="564"/>
      <c r="MEZ4" s="564"/>
      <c r="MFA4" s="564"/>
      <c r="MFB4" s="564"/>
      <c r="MFC4" s="564"/>
      <c r="MFD4" s="564"/>
      <c r="MFE4" s="564"/>
      <c r="MFF4" s="564"/>
      <c r="MFG4" s="564"/>
      <c r="MFH4" s="564"/>
      <c r="MFI4" s="564"/>
      <c r="MFJ4" s="564"/>
      <c r="MFK4" s="564"/>
      <c r="MFL4" s="564"/>
      <c r="MFM4" s="564"/>
      <c r="MFN4" s="564"/>
      <c r="MFO4" s="564"/>
      <c r="MFP4" s="564"/>
      <c r="MFQ4" s="564"/>
      <c r="MFR4" s="564"/>
      <c r="MFS4" s="564"/>
      <c r="MFT4" s="564"/>
      <c r="MFU4" s="564"/>
      <c r="MFV4" s="564"/>
      <c r="MFW4" s="564"/>
      <c r="MFX4" s="564"/>
      <c r="MFY4" s="564"/>
      <c r="MFZ4" s="564"/>
      <c r="MGA4" s="564"/>
      <c r="MGB4" s="564"/>
      <c r="MGC4" s="564"/>
      <c r="MGD4" s="564"/>
      <c r="MGE4" s="564"/>
      <c r="MGF4" s="564"/>
      <c r="MGG4" s="564"/>
      <c r="MGH4" s="564"/>
      <c r="MGI4" s="564"/>
      <c r="MGJ4" s="564"/>
      <c r="MGK4" s="564"/>
      <c r="MGL4" s="564"/>
      <c r="MGM4" s="564"/>
      <c r="MGN4" s="564"/>
      <c r="MGO4" s="564"/>
      <c r="MGP4" s="564"/>
      <c r="MGQ4" s="564"/>
      <c r="MGR4" s="564"/>
      <c r="MGS4" s="564"/>
      <c r="MGT4" s="564"/>
      <c r="MGU4" s="564"/>
      <c r="MGV4" s="564"/>
      <c r="MGW4" s="564"/>
      <c r="MGX4" s="564"/>
      <c r="MGY4" s="564"/>
      <c r="MGZ4" s="564"/>
      <c r="MHA4" s="564"/>
      <c r="MHB4" s="564"/>
      <c r="MHC4" s="564"/>
      <c r="MHD4" s="564"/>
      <c r="MHE4" s="564"/>
      <c r="MHF4" s="564"/>
      <c r="MHG4" s="564"/>
      <c r="MHH4" s="564"/>
      <c r="MHI4" s="564"/>
      <c r="MHJ4" s="564"/>
      <c r="MHK4" s="564"/>
      <c r="MHL4" s="564"/>
      <c r="MHM4" s="564"/>
      <c r="MHN4" s="564"/>
      <c r="MHO4" s="564"/>
      <c r="MHP4" s="564"/>
      <c r="MHQ4" s="564"/>
      <c r="MHR4" s="564"/>
      <c r="MHS4" s="564"/>
      <c r="MHT4" s="564"/>
      <c r="MHU4" s="564"/>
      <c r="MHV4" s="564"/>
      <c r="MHW4" s="564"/>
      <c r="MHX4" s="564"/>
      <c r="MHY4" s="564"/>
      <c r="MHZ4" s="564"/>
      <c r="MIA4" s="564"/>
      <c r="MIB4" s="564"/>
      <c r="MIC4" s="564"/>
      <c r="MID4" s="564"/>
      <c r="MIE4" s="564"/>
      <c r="MIF4" s="564"/>
      <c r="MIG4" s="564"/>
      <c r="MIH4" s="564"/>
      <c r="MII4" s="564"/>
      <c r="MIJ4" s="564"/>
      <c r="MIK4" s="564"/>
      <c r="MIL4" s="564"/>
      <c r="MIM4" s="564"/>
      <c r="MIN4" s="564"/>
      <c r="MIO4" s="564"/>
      <c r="MIP4" s="564"/>
      <c r="MIQ4" s="564"/>
      <c r="MIR4" s="564"/>
      <c r="MIS4" s="564"/>
      <c r="MIT4" s="564"/>
      <c r="MIU4" s="564"/>
      <c r="MIV4" s="564"/>
      <c r="MIW4" s="564"/>
      <c r="MIX4" s="564"/>
      <c r="MIY4" s="564"/>
      <c r="MIZ4" s="564"/>
      <c r="MJA4" s="564"/>
      <c r="MJB4" s="564"/>
      <c r="MJC4" s="564"/>
      <c r="MJD4" s="564"/>
      <c r="MJE4" s="564"/>
      <c r="MJF4" s="564"/>
      <c r="MJG4" s="564"/>
      <c r="MJH4" s="564"/>
      <c r="MJI4" s="564"/>
      <c r="MJJ4" s="564"/>
      <c r="MJK4" s="564"/>
      <c r="MJL4" s="564"/>
      <c r="MJM4" s="564"/>
      <c r="MJN4" s="564"/>
      <c r="MJO4" s="564"/>
      <c r="MJP4" s="564"/>
      <c r="MJQ4" s="564"/>
      <c r="MJR4" s="564"/>
      <c r="MJS4" s="564"/>
      <c r="MJT4" s="564"/>
      <c r="MJU4" s="564"/>
      <c r="MJV4" s="564"/>
      <c r="MJW4" s="564"/>
      <c r="MJX4" s="564"/>
      <c r="MJY4" s="564"/>
      <c r="MJZ4" s="564"/>
      <c r="MKA4" s="564"/>
      <c r="MKB4" s="564"/>
      <c r="MKC4" s="564"/>
      <c r="MKD4" s="564"/>
      <c r="MKE4" s="564"/>
      <c r="MKF4" s="564"/>
      <c r="MKG4" s="564"/>
      <c r="MKH4" s="564"/>
      <c r="MKI4" s="564"/>
      <c r="MKJ4" s="564"/>
      <c r="MKK4" s="564"/>
      <c r="MKL4" s="564"/>
      <c r="MKM4" s="564"/>
      <c r="MKN4" s="564"/>
      <c r="MKO4" s="564"/>
      <c r="MKP4" s="564"/>
      <c r="MKQ4" s="564"/>
      <c r="MKR4" s="564"/>
      <c r="MKS4" s="564"/>
      <c r="MKT4" s="564"/>
      <c r="MKU4" s="564"/>
      <c r="MKV4" s="564"/>
      <c r="MKW4" s="564"/>
      <c r="MKX4" s="564"/>
      <c r="MKY4" s="564"/>
      <c r="MKZ4" s="564"/>
      <c r="MLA4" s="564"/>
      <c r="MLB4" s="564"/>
      <c r="MLC4" s="564"/>
      <c r="MLD4" s="564"/>
      <c r="MLE4" s="564"/>
      <c r="MLF4" s="564"/>
      <c r="MLG4" s="564"/>
      <c r="MLH4" s="564"/>
      <c r="MLI4" s="564"/>
      <c r="MLJ4" s="564"/>
      <c r="MLK4" s="564"/>
      <c r="MLL4" s="564"/>
      <c r="MLM4" s="564"/>
      <c r="MLN4" s="564"/>
      <c r="MLO4" s="564"/>
      <c r="MLP4" s="564"/>
      <c r="MLQ4" s="564"/>
      <c r="MLR4" s="564"/>
      <c r="MLS4" s="564"/>
      <c r="MLT4" s="564"/>
      <c r="MLU4" s="564"/>
      <c r="MLV4" s="564"/>
      <c r="MLW4" s="564"/>
      <c r="MLX4" s="564"/>
      <c r="MLY4" s="564"/>
      <c r="MLZ4" s="564"/>
      <c r="MMA4" s="564"/>
      <c r="MMB4" s="564"/>
      <c r="MMC4" s="564"/>
      <c r="MMD4" s="564"/>
      <c r="MME4" s="564"/>
      <c r="MMF4" s="564"/>
      <c r="MMG4" s="564"/>
      <c r="MMH4" s="564"/>
      <c r="MMI4" s="564"/>
      <c r="MMJ4" s="564"/>
      <c r="MMK4" s="564"/>
      <c r="MML4" s="564"/>
      <c r="MMM4" s="564"/>
      <c r="MMN4" s="564"/>
      <c r="MMO4" s="564"/>
      <c r="MMP4" s="564"/>
      <c r="MMQ4" s="564"/>
      <c r="MMR4" s="564"/>
      <c r="MMS4" s="564"/>
      <c r="MMT4" s="564"/>
      <c r="MMU4" s="564"/>
      <c r="MMV4" s="564"/>
      <c r="MMW4" s="564"/>
      <c r="MMX4" s="564"/>
      <c r="MMY4" s="564"/>
      <c r="MMZ4" s="564"/>
      <c r="MNA4" s="564"/>
      <c r="MNB4" s="564"/>
      <c r="MNC4" s="564"/>
      <c r="MND4" s="564"/>
      <c r="MNE4" s="564"/>
      <c r="MNF4" s="564"/>
      <c r="MNG4" s="564"/>
      <c r="MNH4" s="564"/>
      <c r="MNI4" s="564"/>
      <c r="MNJ4" s="564"/>
      <c r="MNK4" s="564"/>
      <c r="MNL4" s="564"/>
      <c r="MNM4" s="564"/>
      <c r="MNN4" s="564"/>
      <c r="MNO4" s="564"/>
      <c r="MNP4" s="564"/>
      <c r="MNQ4" s="564"/>
      <c r="MNR4" s="564"/>
      <c r="MNS4" s="564"/>
      <c r="MNT4" s="564"/>
      <c r="MNU4" s="564"/>
      <c r="MNV4" s="564"/>
      <c r="MNW4" s="564"/>
      <c r="MNX4" s="564"/>
      <c r="MNY4" s="564"/>
      <c r="MNZ4" s="564"/>
      <c r="MOA4" s="564"/>
      <c r="MOB4" s="564"/>
      <c r="MOC4" s="564"/>
      <c r="MOD4" s="564"/>
      <c r="MOE4" s="564"/>
      <c r="MOF4" s="564"/>
      <c r="MOG4" s="564"/>
      <c r="MOH4" s="564"/>
      <c r="MOI4" s="564"/>
      <c r="MOJ4" s="564"/>
      <c r="MOK4" s="564"/>
      <c r="MOL4" s="564"/>
      <c r="MOM4" s="564"/>
      <c r="MON4" s="564"/>
      <c r="MOO4" s="564"/>
      <c r="MOP4" s="564"/>
      <c r="MOQ4" s="564"/>
      <c r="MOR4" s="564"/>
      <c r="MOS4" s="564"/>
      <c r="MOT4" s="564"/>
      <c r="MOU4" s="564"/>
      <c r="MOV4" s="564"/>
      <c r="MOW4" s="564"/>
      <c r="MOX4" s="564"/>
      <c r="MOY4" s="564"/>
      <c r="MOZ4" s="564"/>
      <c r="MPA4" s="564"/>
      <c r="MPB4" s="564"/>
      <c r="MPC4" s="564"/>
      <c r="MPD4" s="564"/>
      <c r="MPE4" s="564"/>
      <c r="MPF4" s="564"/>
      <c r="MPG4" s="564"/>
      <c r="MPH4" s="564"/>
      <c r="MPI4" s="564"/>
      <c r="MPJ4" s="564"/>
      <c r="MPK4" s="564"/>
      <c r="MPL4" s="564"/>
      <c r="MPM4" s="564"/>
      <c r="MPN4" s="564"/>
      <c r="MPO4" s="564"/>
      <c r="MPP4" s="564"/>
      <c r="MPQ4" s="564"/>
      <c r="MPR4" s="564"/>
      <c r="MPS4" s="564"/>
      <c r="MPT4" s="564"/>
      <c r="MPU4" s="564"/>
      <c r="MPV4" s="564"/>
      <c r="MPW4" s="564"/>
      <c r="MPX4" s="564"/>
      <c r="MPY4" s="564"/>
      <c r="MPZ4" s="564"/>
      <c r="MQA4" s="564"/>
      <c r="MQB4" s="564"/>
      <c r="MQC4" s="564"/>
      <c r="MQD4" s="564"/>
      <c r="MQE4" s="564"/>
      <c r="MQF4" s="564"/>
      <c r="MQG4" s="564"/>
      <c r="MQH4" s="564"/>
      <c r="MQI4" s="564"/>
      <c r="MQJ4" s="564"/>
      <c r="MQK4" s="564"/>
      <c r="MQL4" s="564"/>
      <c r="MQM4" s="564"/>
      <c r="MQN4" s="564"/>
      <c r="MQO4" s="564"/>
      <c r="MQP4" s="564"/>
      <c r="MQQ4" s="564"/>
      <c r="MQR4" s="564"/>
      <c r="MQS4" s="564"/>
      <c r="MQT4" s="564"/>
      <c r="MQU4" s="564"/>
      <c r="MQV4" s="564"/>
      <c r="MQW4" s="564"/>
      <c r="MQX4" s="564"/>
      <c r="MQY4" s="564"/>
      <c r="MQZ4" s="564"/>
      <c r="MRA4" s="564"/>
      <c r="MRB4" s="564"/>
      <c r="MRC4" s="564"/>
      <c r="MRD4" s="564"/>
      <c r="MRE4" s="564"/>
      <c r="MRF4" s="564"/>
      <c r="MRG4" s="564"/>
      <c r="MRH4" s="564"/>
      <c r="MRI4" s="564"/>
      <c r="MRJ4" s="564"/>
      <c r="MRK4" s="564"/>
      <c r="MRL4" s="564"/>
      <c r="MRM4" s="564"/>
      <c r="MRN4" s="564"/>
      <c r="MRO4" s="564"/>
      <c r="MRP4" s="564"/>
      <c r="MRQ4" s="564"/>
      <c r="MRR4" s="564"/>
      <c r="MRS4" s="564"/>
      <c r="MRT4" s="564"/>
      <c r="MRU4" s="564"/>
      <c r="MRV4" s="564"/>
      <c r="MRW4" s="564"/>
      <c r="MRX4" s="564"/>
      <c r="MRY4" s="564"/>
      <c r="MRZ4" s="564"/>
      <c r="MSA4" s="564"/>
      <c r="MSB4" s="564"/>
      <c r="MSC4" s="564"/>
      <c r="MSD4" s="564"/>
      <c r="MSE4" s="564"/>
      <c r="MSF4" s="564"/>
      <c r="MSG4" s="564"/>
      <c r="MSH4" s="564"/>
      <c r="MSI4" s="564"/>
      <c r="MSJ4" s="564"/>
      <c r="MSK4" s="564"/>
      <c r="MSL4" s="564"/>
      <c r="MSM4" s="564"/>
      <c r="MSN4" s="564"/>
      <c r="MSO4" s="564"/>
      <c r="MSP4" s="564"/>
      <c r="MSQ4" s="564"/>
      <c r="MSR4" s="564"/>
      <c r="MSS4" s="564"/>
      <c r="MST4" s="564"/>
      <c r="MSU4" s="564"/>
      <c r="MSV4" s="564"/>
      <c r="MSW4" s="564"/>
      <c r="MSX4" s="564"/>
      <c r="MSY4" s="564"/>
      <c r="MSZ4" s="564"/>
      <c r="MTA4" s="564"/>
      <c r="MTB4" s="564"/>
      <c r="MTC4" s="564"/>
      <c r="MTD4" s="564"/>
      <c r="MTE4" s="564"/>
      <c r="MTF4" s="564"/>
      <c r="MTG4" s="564"/>
      <c r="MTH4" s="564"/>
      <c r="MTI4" s="564"/>
      <c r="MTJ4" s="564"/>
      <c r="MTK4" s="564"/>
      <c r="MTL4" s="564"/>
      <c r="MTM4" s="564"/>
      <c r="MTN4" s="564"/>
      <c r="MTO4" s="564"/>
      <c r="MTP4" s="564"/>
      <c r="MTQ4" s="564"/>
      <c r="MTR4" s="564"/>
      <c r="MTS4" s="564"/>
      <c r="MTT4" s="564"/>
      <c r="MTU4" s="564"/>
      <c r="MTV4" s="564"/>
      <c r="MTW4" s="564"/>
      <c r="MTX4" s="564"/>
      <c r="MTY4" s="564"/>
      <c r="MTZ4" s="564"/>
      <c r="MUA4" s="564"/>
      <c r="MUB4" s="564"/>
      <c r="MUC4" s="564"/>
      <c r="MUD4" s="564"/>
      <c r="MUE4" s="564"/>
      <c r="MUF4" s="564"/>
      <c r="MUG4" s="564"/>
      <c r="MUH4" s="564"/>
      <c r="MUI4" s="564"/>
      <c r="MUJ4" s="564"/>
      <c r="MUK4" s="564"/>
      <c r="MUL4" s="564"/>
      <c r="MUM4" s="564"/>
      <c r="MUN4" s="564"/>
      <c r="MUO4" s="564"/>
      <c r="MUP4" s="564"/>
      <c r="MUQ4" s="564"/>
      <c r="MUR4" s="564"/>
      <c r="MUS4" s="564"/>
      <c r="MUT4" s="564"/>
      <c r="MUU4" s="564"/>
      <c r="MUV4" s="564"/>
      <c r="MUW4" s="564"/>
      <c r="MUX4" s="564"/>
      <c r="MUY4" s="564"/>
      <c r="MUZ4" s="564"/>
      <c r="MVA4" s="564"/>
      <c r="MVB4" s="564"/>
      <c r="MVC4" s="564"/>
      <c r="MVD4" s="564"/>
      <c r="MVE4" s="564"/>
      <c r="MVF4" s="564"/>
      <c r="MVG4" s="564"/>
      <c r="MVH4" s="564"/>
      <c r="MVI4" s="564"/>
      <c r="MVJ4" s="564"/>
      <c r="MVK4" s="564"/>
      <c r="MVL4" s="564"/>
      <c r="MVM4" s="564"/>
      <c r="MVN4" s="564"/>
      <c r="MVO4" s="564"/>
      <c r="MVP4" s="564"/>
      <c r="MVQ4" s="564"/>
      <c r="MVR4" s="564"/>
      <c r="MVS4" s="564"/>
      <c r="MVT4" s="564"/>
      <c r="MVU4" s="564"/>
      <c r="MVV4" s="564"/>
      <c r="MVW4" s="564"/>
      <c r="MVX4" s="564"/>
      <c r="MVY4" s="564"/>
      <c r="MVZ4" s="564"/>
      <c r="MWA4" s="564"/>
      <c r="MWB4" s="564"/>
      <c r="MWC4" s="564"/>
      <c r="MWD4" s="564"/>
      <c r="MWE4" s="564"/>
      <c r="MWF4" s="564"/>
      <c r="MWG4" s="564"/>
      <c r="MWH4" s="564"/>
      <c r="MWI4" s="564"/>
      <c r="MWJ4" s="564"/>
      <c r="MWK4" s="564"/>
      <c r="MWL4" s="564"/>
      <c r="MWM4" s="564"/>
      <c r="MWN4" s="564"/>
      <c r="MWO4" s="564"/>
      <c r="MWP4" s="564"/>
      <c r="MWQ4" s="564"/>
      <c r="MWR4" s="564"/>
      <c r="MWS4" s="564"/>
      <c r="MWT4" s="564"/>
      <c r="MWU4" s="564"/>
      <c r="MWV4" s="564"/>
      <c r="MWW4" s="564"/>
      <c r="MWX4" s="564"/>
      <c r="MWY4" s="564"/>
      <c r="MWZ4" s="564"/>
      <c r="MXA4" s="564"/>
      <c r="MXB4" s="564"/>
      <c r="MXC4" s="564"/>
      <c r="MXD4" s="564"/>
      <c r="MXE4" s="564"/>
      <c r="MXF4" s="564"/>
      <c r="MXG4" s="564"/>
      <c r="MXH4" s="564"/>
      <c r="MXI4" s="564"/>
      <c r="MXJ4" s="564"/>
      <c r="MXK4" s="564"/>
      <c r="MXL4" s="564"/>
      <c r="MXM4" s="564"/>
      <c r="MXN4" s="564"/>
      <c r="MXO4" s="564"/>
      <c r="MXP4" s="564"/>
      <c r="MXQ4" s="564"/>
      <c r="MXR4" s="564"/>
      <c r="MXS4" s="564"/>
      <c r="MXT4" s="564"/>
      <c r="MXU4" s="564"/>
      <c r="MXV4" s="564"/>
      <c r="MXW4" s="564"/>
      <c r="MXX4" s="564"/>
      <c r="MXY4" s="564"/>
      <c r="MXZ4" s="564"/>
      <c r="MYA4" s="564"/>
      <c r="MYB4" s="564"/>
      <c r="MYC4" s="564"/>
      <c r="MYD4" s="564"/>
      <c r="MYE4" s="564"/>
      <c r="MYF4" s="564"/>
      <c r="MYG4" s="564"/>
      <c r="MYH4" s="564"/>
      <c r="MYI4" s="564"/>
      <c r="MYJ4" s="564"/>
      <c r="MYK4" s="564"/>
      <c r="MYL4" s="564"/>
      <c r="MYM4" s="564"/>
      <c r="MYN4" s="564"/>
      <c r="MYO4" s="564"/>
      <c r="MYP4" s="564"/>
      <c r="MYQ4" s="564"/>
      <c r="MYR4" s="564"/>
      <c r="MYS4" s="564"/>
      <c r="MYT4" s="564"/>
      <c r="MYU4" s="564"/>
      <c r="MYV4" s="564"/>
      <c r="MYW4" s="564"/>
      <c r="MYX4" s="564"/>
      <c r="MYY4" s="564"/>
      <c r="MYZ4" s="564"/>
      <c r="MZA4" s="564"/>
      <c r="MZB4" s="564"/>
      <c r="MZC4" s="564"/>
      <c r="MZD4" s="564"/>
      <c r="MZE4" s="564"/>
      <c r="MZF4" s="564"/>
      <c r="MZG4" s="564"/>
      <c r="MZH4" s="564"/>
      <c r="MZI4" s="564"/>
      <c r="MZJ4" s="564"/>
      <c r="MZK4" s="564"/>
      <c r="MZL4" s="564"/>
      <c r="MZM4" s="564"/>
      <c r="MZN4" s="564"/>
      <c r="MZO4" s="564"/>
      <c r="MZP4" s="564"/>
      <c r="MZQ4" s="564"/>
      <c r="MZR4" s="564"/>
      <c r="MZS4" s="564"/>
      <c r="MZT4" s="564"/>
      <c r="MZU4" s="564"/>
      <c r="MZV4" s="564"/>
      <c r="MZW4" s="564"/>
      <c r="MZX4" s="564"/>
      <c r="MZY4" s="564"/>
      <c r="MZZ4" s="564"/>
      <c r="NAA4" s="564"/>
      <c r="NAB4" s="564"/>
      <c r="NAC4" s="564"/>
      <c r="NAD4" s="564"/>
      <c r="NAE4" s="564"/>
      <c r="NAF4" s="564"/>
      <c r="NAG4" s="564"/>
      <c r="NAH4" s="564"/>
      <c r="NAI4" s="564"/>
      <c r="NAJ4" s="564"/>
      <c r="NAK4" s="564"/>
      <c r="NAL4" s="564"/>
      <c r="NAM4" s="564"/>
      <c r="NAN4" s="564"/>
      <c r="NAO4" s="564"/>
      <c r="NAP4" s="564"/>
      <c r="NAQ4" s="564"/>
      <c r="NAR4" s="564"/>
      <c r="NAS4" s="564"/>
      <c r="NAT4" s="564"/>
      <c r="NAU4" s="564"/>
      <c r="NAV4" s="564"/>
      <c r="NAW4" s="564"/>
      <c r="NAX4" s="564"/>
      <c r="NAY4" s="564"/>
      <c r="NAZ4" s="564"/>
      <c r="NBA4" s="564"/>
      <c r="NBB4" s="564"/>
      <c r="NBC4" s="564"/>
      <c r="NBD4" s="564"/>
      <c r="NBE4" s="564"/>
      <c r="NBF4" s="564"/>
      <c r="NBG4" s="564"/>
      <c r="NBH4" s="564"/>
      <c r="NBI4" s="564"/>
      <c r="NBJ4" s="564"/>
      <c r="NBK4" s="564"/>
      <c r="NBL4" s="564"/>
      <c r="NBM4" s="564"/>
      <c r="NBN4" s="564"/>
      <c r="NBO4" s="564"/>
      <c r="NBP4" s="564"/>
      <c r="NBQ4" s="564"/>
      <c r="NBR4" s="564"/>
      <c r="NBS4" s="564"/>
      <c r="NBT4" s="564"/>
      <c r="NBU4" s="564"/>
      <c r="NBV4" s="564"/>
      <c r="NBW4" s="564"/>
      <c r="NBX4" s="564"/>
      <c r="NBY4" s="564"/>
      <c r="NBZ4" s="564"/>
      <c r="NCA4" s="564"/>
      <c r="NCB4" s="564"/>
      <c r="NCC4" s="564"/>
      <c r="NCD4" s="564"/>
      <c r="NCE4" s="564"/>
      <c r="NCF4" s="564"/>
      <c r="NCG4" s="564"/>
      <c r="NCH4" s="564"/>
      <c r="NCI4" s="564"/>
      <c r="NCJ4" s="564"/>
      <c r="NCK4" s="564"/>
      <c r="NCL4" s="564"/>
      <c r="NCM4" s="564"/>
      <c r="NCN4" s="564"/>
      <c r="NCO4" s="564"/>
      <c r="NCP4" s="564"/>
      <c r="NCQ4" s="564"/>
      <c r="NCR4" s="564"/>
      <c r="NCS4" s="564"/>
      <c r="NCT4" s="564"/>
      <c r="NCU4" s="564"/>
      <c r="NCV4" s="564"/>
      <c r="NCW4" s="564"/>
      <c r="NCX4" s="564"/>
      <c r="NCY4" s="564"/>
      <c r="NCZ4" s="564"/>
      <c r="NDA4" s="564"/>
      <c r="NDB4" s="564"/>
      <c r="NDC4" s="564"/>
      <c r="NDD4" s="564"/>
      <c r="NDE4" s="564"/>
      <c r="NDF4" s="564"/>
      <c r="NDG4" s="564"/>
      <c r="NDH4" s="564"/>
      <c r="NDI4" s="564"/>
      <c r="NDJ4" s="564"/>
      <c r="NDK4" s="564"/>
      <c r="NDL4" s="564"/>
      <c r="NDM4" s="564"/>
      <c r="NDN4" s="564"/>
      <c r="NDO4" s="564"/>
      <c r="NDP4" s="564"/>
      <c r="NDQ4" s="564"/>
      <c r="NDR4" s="564"/>
      <c r="NDS4" s="564"/>
      <c r="NDT4" s="564"/>
      <c r="NDU4" s="564"/>
      <c r="NDV4" s="564"/>
      <c r="NDW4" s="564"/>
      <c r="NDX4" s="564"/>
      <c r="NDY4" s="564"/>
      <c r="NDZ4" s="564"/>
      <c r="NEA4" s="564"/>
      <c r="NEB4" s="564"/>
      <c r="NEC4" s="564"/>
      <c r="NED4" s="564"/>
      <c r="NEE4" s="564"/>
      <c r="NEF4" s="564"/>
      <c r="NEG4" s="564"/>
      <c r="NEH4" s="564"/>
      <c r="NEI4" s="564"/>
      <c r="NEJ4" s="564"/>
      <c r="NEK4" s="564"/>
      <c r="NEL4" s="564"/>
      <c r="NEM4" s="564"/>
      <c r="NEN4" s="564"/>
      <c r="NEO4" s="564"/>
      <c r="NEP4" s="564"/>
      <c r="NEQ4" s="564"/>
      <c r="NER4" s="564"/>
      <c r="NES4" s="564"/>
      <c r="NET4" s="564"/>
      <c r="NEU4" s="564"/>
      <c r="NEV4" s="564"/>
      <c r="NEW4" s="564"/>
      <c r="NEX4" s="564"/>
      <c r="NEY4" s="564"/>
      <c r="NEZ4" s="564"/>
      <c r="NFA4" s="564"/>
      <c r="NFB4" s="564"/>
      <c r="NFC4" s="564"/>
      <c r="NFD4" s="564"/>
      <c r="NFE4" s="564"/>
      <c r="NFF4" s="564"/>
      <c r="NFG4" s="564"/>
      <c r="NFH4" s="564"/>
      <c r="NFI4" s="564"/>
      <c r="NFJ4" s="564"/>
      <c r="NFK4" s="564"/>
      <c r="NFL4" s="564"/>
      <c r="NFM4" s="564"/>
      <c r="NFN4" s="564"/>
      <c r="NFO4" s="564"/>
      <c r="NFP4" s="564"/>
      <c r="NFQ4" s="564"/>
      <c r="NFR4" s="564"/>
      <c r="NFS4" s="564"/>
      <c r="NFT4" s="564"/>
      <c r="NFU4" s="564"/>
      <c r="NFV4" s="564"/>
      <c r="NFW4" s="564"/>
      <c r="NFX4" s="564"/>
      <c r="NFY4" s="564"/>
      <c r="NFZ4" s="564"/>
      <c r="NGA4" s="564"/>
      <c r="NGB4" s="564"/>
      <c r="NGC4" s="564"/>
      <c r="NGD4" s="564"/>
      <c r="NGE4" s="564"/>
      <c r="NGF4" s="564"/>
      <c r="NGG4" s="564"/>
      <c r="NGH4" s="564"/>
      <c r="NGI4" s="564"/>
      <c r="NGJ4" s="564"/>
      <c r="NGK4" s="564"/>
      <c r="NGL4" s="564"/>
      <c r="NGM4" s="564"/>
      <c r="NGN4" s="564"/>
      <c r="NGO4" s="564"/>
      <c r="NGP4" s="564"/>
      <c r="NGQ4" s="564"/>
      <c r="NGR4" s="564"/>
      <c r="NGS4" s="564"/>
      <c r="NGT4" s="564"/>
      <c r="NGU4" s="564"/>
      <c r="NGV4" s="564"/>
      <c r="NGW4" s="564"/>
      <c r="NGX4" s="564"/>
      <c r="NGY4" s="564"/>
      <c r="NGZ4" s="564"/>
      <c r="NHA4" s="564"/>
      <c r="NHB4" s="564"/>
      <c r="NHC4" s="564"/>
      <c r="NHD4" s="564"/>
      <c r="NHE4" s="564"/>
      <c r="NHF4" s="564"/>
      <c r="NHG4" s="564"/>
      <c r="NHH4" s="564"/>
      <c r="NHI4" s="564"/>
      <c r="NHJ4" s="564"/>
      <c r="NHK4" s="564"/>
      <c r="NHL4" s="564"/>
      <c r="NHM4" s="564"/>
      <c r="NHN4" s="564"/>
      <c r="NHO4" s="564"/>
      <c r="NHP4" s="564"/>
      <c r="NHQ4" s="564"/>
      <c r="NHR4" s="564"/>
      <c r="NHS4" s="564"/>
      <c r="NHT4" s="564"/>
      <c r="NHU4" s="564"/>
      <c r="NHV4" s="564"/>
      <c r="NHW4" s="564"/>
      <c r="NHX4" s="564"/>
      <c r="NHY4" s="564"/>
      <c r="NHZ4" s="564"/>
      <c r="NIA4" s="564"/>
      <c r="NIB4" s="564"/>
      <c r="NIC4" s="564"/>
      <c r="NID4" s="564"/>
      <c r="NIE4" s="564"/>
      <c r="NIF4" s="564"/>
      <c r="NIG4" s="564"/>
      <c r="NIH4" s="564"/>
      <c r="NII4" s="564"/>
      <c r="NIJ4" s="564"/>
      <c r="NIK4" s="564"/>
      <c r="NIL4" s="564"/>
      <c r="NIM4" s="564"/>
      <c r="NIN4" s="564"/>
      <c r="NIO4" s="564"/>
      <c r="NIP4" s="564"/>
      <c r="NIQ4" s="564"/>
      <c r="NIR4" s="564"/>
      <c r="NIS4" s="564"/>
      <c r="NIT4" s="564"/>
      <c r="NIU4" s="564"/>
      <c r="NIV4" s="564"/>
      <c r="NIW4" s="564"/>
      <c r="NIX4" s="564"/>
      <c r="NIY4" s="564"/>
      <c r="NIZ4" s="564"/>
      <c r="NJA4" s="564"/>
      <c r="NJB4" s="564"/>
      <c r="NJC4" s="564"/>
      <c r="NJD4" s="564"/>
      <c r="NJE4" s="564"/>
      <c r="NJF4" s="564"/>
      <c r="NJG4" s="564"/>
      <c r="NJH4" s="564"/>
      <c r="NJI4" s="564"/>
      <c r="NJJ4" s="564"/>
      <c r="NJK4" s="564"/>
      <c r="NJL4" s="564"/>
      <c r="NJM4" s="564"/>
      <c r="NJN4" s="564"/>
      <c r="NJO4" s="564"/>
      <c r="NJP4" s="564"/>
      <c r="NJQ4" s="564"/>
      <c r="NJR4" s="564"/>
      <c r="NJS4" s="564"/>
      <c r="NJT4" s="564"/>
      <c r="NJU4" s="564"/>
      <c r="NJV4" s="564"/>
      <c r="NJW4" s="564"/>
      <c r="NJX4" s="564"/>
      <c r="NJY4" s="564"/>
      <c r="NJZ4" s="564"/>
      <c r="NKA4" s="564"/>
      <c r="NKB4" s="564"/>
      <c r="NKC4" s="564"/>
      <c r="NKD4" s="564"/>
      <c r="NKE4" s="564"/>
      <c r="NKF4" s="564"/>
      <c r="NKG4" s="564"/>
      <c r="NKH4" s="564"/>
      <c r="NKI4" s="564"/>
      <c r="NKJ4" s="564"/>
      <c r="NKK4" s="564"/>
      <c r="NKL4" s="564"/>
      <c r="NKM4" s="564"/>
      <c r="NKN4" s="564"/>
      <c r="NKO4" s="564"/>
      <c r="NKP4" s="564"/>
      <c r="NKQ4" s="564"/>
      <c r="NKR4" s="564"/>
      <c r="NKS4" s="564"/>
      <c r="NKT4" s="564"/>
      <c r="NKU4" s="564"/>
      <c r="NKV4" s="564"/>
      <c r="NKW4" s="564"/>
      <c r="NKX4" s="564"/>
      <c r="NKY4" s="564"/>
      <c r="NKZ4" s="564"/>
      <c r="NLA4" s="564"/>
      <c r="NLB4" s="564"/>
      <c r="NLC4" s="564"/>
      <c r="NLD4" s="564"/>
      <c r="NLE4" s="564"/>
      <c r="NLF4" s="564"/>
      <c r="NLG4" s="564"/>
      <c r="NLH4" s="564"/>
      <c r="NLI4" s="564"/>
      <c r="NLJ4" s="564"/>
      <c r="NLK4" s="564"/>
      <c r="NLL4" s="564"/>
      <c r="NLM4" s="564"/>
      <c r="NLN4" s="564"/>
      <c r="NLO4" s="564"/>
      <c r="NLP4" s="564"/>
      <c r="NLQ4" s="564"/>
      <c r="NLR4" s="564"/>
      <c r="NLS4" s="564"/>
      <c r="NLT4" s="564"/>
      <c r="NLU4" s="564"/>
      <c r="NLV4" s="564"/>
      <c r="NLW4" s="564"/>
      <c r="NLX4" s="564"/>
      <c r="NLY4" s="564"/>
      <c r="NLZ4" s="564"/>
      <c r="NMA4" s="564"/>
      <c r="NMB4" s="564"/>
      <c r="NMC4" s="564"/>
      <c r="NMD4" s="564"/>
      <c r="NME4" s="564"/>
      <c r="NMF4" s="564"/>
      <c r="NMG4" s="564"/>
      <c r="NMH4" s="564"/>
      <c r="NMI4" s="564"/>
      <c r="NMJ4" s="564"/>
      <c r="NMK4" s="564"/>
      <c r="NML4" s="564"/>
      <c r="NMM4" s="564"/>
      <c r="NMN4" s="564"/>
      <c r="NMO4" s="564"/>
      <c r="NMP4" s="564"/>
      <c r="NMQ4" s="564"/>
      <c r="NMR4" s="564"/>
      <c r="NMS4" s="564"/>
      <c r="NMT4" s="564"/>
      <c r="NMU4" s="564"/>
      <c r="NMV4" s="564"/>
      <c r="NMW4" s="564"/>
      <c r="NMX4" s="564"/>
      <c r="NMY4" s="564"/>
      <c r="NMZ4" s="564"/>
      <c r="NNA4" s="564"/>
      <c r="NNB4" s="564"/>
      <c r="NNC4" s="564"/>
      <c r="NND4" s="564"/>
      <c r="NNE4" s="564"/>
      <c r="NNF4" s="564"/>
      <c r="NNG4" s="564"/>
      <c r="NNH4" s="564"/>
      <c r="NNI4" s="564"/>
      <c r="NNJ4" s="564"/>
      <c r="NNK4" s="564"/>
      <c r="NNL4" s="564"/>
      <c r="NNM4" s="564"/>
      <c r="NNN4" s="564"/>
      <c r="NNO4" s="564"/>
      <c r="NNP4" s="564"/>
      <c r="NNQ4" s="564"/>
      <c r="NNR4" s="564"/>
      <c r="NNS4" s="564"/>
      <c r="NNT4" s="564"/>
      <c r="NNU4" s="564"/>
      <c r="NNV4" s="564"/>
      <c r="NNW4" s="564"/>
      <c r="NNX4" s="564"/>
      <c r="NNY4" s="564"/>
      <c r="NNZ4" s="564"/>
      <c r="NOA4" s="564"/>
      <c r="NOB4" s="564"/>
      <c r="NOC4" s="564"/>
      <c r="NOD4" s="564"/>
      <c r="NOE4" s="564"/>
      <c r="NOF4" s="564"/>
      <c r="NOG4" s="564"/>
      <c r="NOH4" s="564"/>
      <c r="NOI4" s="564"/>
      <c r="NOJ4" s="564"/>
      <c r="NOK4" s="564"/>
      <c r="NOL4" s="564"/>
      <c r="NOM4" s="564"/>
      <c r="NON4" s="564"/>
      <c r="NOO4" s="564"/>
      <c r="NOP4" s="564"/>
      <c r="NOQ4" s="564"/>
      <c r="NOR4" s="564"/>
      <c r="NOS4" s="564"/>
      <c r="NOT4" s="564"/>
      <c r="NOU4" s="564"/>
      <c r="NOV4" s="564"/>
      <c r="NOW4" s="564"/>
      <c r="NOX4" s="564"/>
      <c r="NOY4" s="564"/>
      <c r="NOZ4" s="564"/>
      <c r="NPA4" s="564"/>
      <c r="NPB4" s="564"/>
      <c r="NPC4" s="564"/>
      <c r="NPD4" s="564"/>
      <c r="NPE4" s="564"/>
      <c r="NPF4" s="564"/>
      <c r="NPG4" s="564"/>
      <c r="NPH4" s="564"/>
      <c r="NPI4" s="564"/>
      <c r="NPJ4" s="564"/>
      <c r="NPK4" s="564"/>
      <c r="NPL4" s="564"/>
      <c r="NPM4" s="564"/>
      <c r="NPN4" s="564"/>
      <c r="NPO4" s="564"/>
      <c r="NPP4" s="564"/>
      <c r="NPQ4" s="564"/>
      <c r="NPR4" s="564"/>
      <c r="NPS4" s="564"/>
      <c r="NPT4" s="564"/>
      <c r="NPU4" s="564"/>
      <c r="NPV4" s="564"/>
      <c r="NPW4" s="564"/>
      <c r="NPX4" s="564"/>
      <c r="NPY4" s="564"/>
      <c r="NPZ4" s="564"/>
      <c r="NQA4" s="564"/>
      <c r="NQB4" s="564"/>
      <c r="NQC4" s="564"/>
      <c r="NQD4" s="564"/>
      <c r="NQE4" s="564"/>
      <c r="NQF4" s="564"/>
      <c r="NQG4" s="564"/>
      <c r="NQH4" s="564"/>
      <c r="NQI4" s="564"/>
      <c r="NQJ4" s="564"/>
      <c r="NQK4" s="564"/>
      <c r="NQL4" s="564"/>
      <c r="NQM4" s="564"/>
      <c r="NQN4" s="564"/>
      <c r="NQO4" s="564"/>
      <c r="NQP4" s="564"/>
      <c r="NQQ4" s="564"/>
      <c r="NQR4" s="564"/>
      <c r="NQS4" s="564"/>
      <c r="NQT4" s="564"/>
      <c r="NQU4" s="564"/>
      <c r="NQV4" s="564"/>
      <c r="NQW4" s="564"/>
      <c r="NQX4" s="564"/>
      <c r="NQY4" s="564"/>
      <c r="NQZ4" s="564"/>
      <c r="NRA4" s="564"/>
      <c r="NRB4" s="564"/>
      <c r="NRC4" s="564"/>
      <c r="NRD4" s="564"/>
      <c r="NRE4" s="564"/>
      <c r="NRF4" s="564"/>
      <c r="NRG4" s="564"/>
      <c r="NRH4" s="564"/>
      <c r="NRI4" s="564"/>
      <c r="NRJ4" s="564"/>
      <c r="NRK4" s="564"/>
      <c r="NRL4" s="564"/>
      <c r="NRM4" s="564"/>
      <c r="NRN4" s="564"/>
      <c r="NRO4" s="564"/>
      <c r="NRP4" s="564"/>
      <c r="NRQ4" s="564"/>
      <c r="NRR4" s="564"/>
      <c r="NRS4" s="564"/>
      <c r="NRT4" s="564"/>
      <c r="NRU4" s="564"/>
      <c r="NRV4" s="564"/>
      <c r="NRW4" s="564"/>
      <c r="NRX4" s="564"/>
      <c r="NRY4" s="564"/>
      <c r="NRZ4" s="564"/>
      <c r="NSA4" s="564"/>
      <c r="NSB4" s="564"/>
      <c r="NSC4" s="564"/>
      <c r="NSD4" s="564"/>
      <c r="NSE4" s="564"/>
      <c r="NSF4" s="564"/>
      <c r="NSG4" s="564"/>
      <c r="NSH4" s="564"/>
      <c r="NSI4" s="564"/>
      <c r="NSJ4" s="564"/>
      <c r="NSK4" s="564"/>
      <c r="NSL4" s="564"/>
      <c r="NSM4" s="564"/>
      <c r="NSN4" s="564"/>
      <c r="NSO4" s="564"/>
      <c r="NSP4" s="564"/>
      <c r="NSQ4" s="564"/>
      <c r="NSR4" s="564"/>
      <c r="NSS4" s="564"/>
      <c r="NST4" s="564"/>
      <c r="NSU4" s="564"/>
      <c r="NSV4" s="564"/>
      <c r="NSW4" s="564"/>
      <c r="NSX4" s="564"/>
      <c r="NSY4" s="564"/>
      <c r="NSZ4" s="564"/>
      <c r="NTA4" s="564"/>
      <c r="NTB4" s="564"/>
      <c r="NTC4" s="564"/>
      <c r="NTD4" s="564"/>
      <c r="NTE4" s="564"/>
      <c r="NTF4" s="564"/>
      <c r="NTG4" s="564"/>
      <c r="NTH4" s="564"/>
      <c r="NTI4" s="564"/>
      <c r="NTJ4" s="564"/>
      <c r="NTK4" s="564"/>
      <c r="NTL4" s="564"/>
      <c r="NTM4" s="564"/>
      <c r="NTN4" s="564"/>
      <c r="NTO4" s="564"/>
      <c r="NTP4" s="564"/>
      <c r="NTQ4" s="564"/>
      <c r="NTR4" s="564"/>
      <c r="NTS4" s="564"/>
      <c r="NTT4" s="564"/>
      <c r="NTU4" s="564"/>
      <c r="NTV4" s="564"/>
      <c r="NTW4" s="564"/>
      <c r="NTX4" s="564"/>
      <c r="NTY4" s="564"/>
      <c r="NTZ4" s="564"/>
      <c r="NUA4" s="564"/>
      <c r="NUB4" s="564"/>
      <c r="NUC4" s="564"/>
      <c r="NUD4" s="564"/>
      <c r="NUE4" s="564"/>
      <c r="NUF4" s="564"/>
      <c r="NUG4" s="564"/>
      <c r="NUH4" s="564"/>
      <c r="NUI4" s="564"/>
      <c r="NUJ4" s="564"/>
      <c r="NUK4" s="564"/>
      <c r="NUL4" s="564"/>
      <c r="NUM4" s="564"/>
      <c r="NUN4" s="564"/>
      <c r="NUO4" s="564"/>
      <c r="NUP4" s="564"/>
      <c r="NUQ4" s="564"/>
      <c r="NUR4" s="564"/>
      <c r="NUS4" s="564"/>
      <c r="NUT4" s="564"/>
      <c r="NUU4" s="564"/>
      <c r="NUV4" s="564"/>
      <c r="NUW4" s="564"/>
      <c r="NUX4" s="564"/>
      <c r="NUY4" s="564"/>
      <c r="NUZ4" s="564"/>
      <c r="NVA4" s="564"/>
      <c r="NVB4" s="564"/>
      <c r="NVC4" s="564"/>
      <c r="NVD4" s="564"/>
      <c r="NVE4" s="564"/>
      <c r="NVF4" s="564"/>
      <c r="NVG4" s="564"/>
      <c r="NVH4" s="564"/>
      <c r="NVI4" s="564"/>
      <c r="NVJ4" s="564"/>
      <c r="NVK4" s="564"/>
      <c r="NVL4" s="564"/>
      <c r="NVM4" s="564"/>
      <c r="NVN4" s="564"/>
      <c r="NVO4" s="564"/>
      <c r="NVP4" s="564"/>
      <c r="NVQ4" s="564"/>
      <c r="NVR4" s="564"/>
      <c r="NVS4" s="564"/>
      <c r="NVT4" s="564"/>
      <c r="NVU4" s="564"/>
      <c r="NVV4" s="564"/>
      <c r="NVW4" s="564"/>
      <c r="NVX4" s="564"/>
      <c r="NVY4" s="564"/>
      <c r="NVZ4" s="564"/>
      <c r="NWA4" s="564"/>
      <c r="NWB4" s="564"/>
      <c r="NWC4" s="564"/>
      <c r="NWD4" s="564"/>
      <c r="NWE4" s="564"/>
      <c r="NWF4" s="564"/>
      <c r="NWG4" s="564"/>
      <c r="NWH4" s="564"/>
      <c r="NWI4" s="564"/>
      <c r="NWJ4" s="564"/>
      <c r="NWK4" s="564"/>
      <c r="NWL4" s="564"/>
      <c r="NWM4" s="564"/>
      <c r="NWN4" s="564"/>
      <c r="NWO4" s="564"/>
      <c r="NWP4" s="564"/>
      <c r="NWQ4" s="564"/>
      <c r="NWR4" s="564"/>
      <c r="NWS4" s="564"/>
      <c r="NWT4" s="564"/>
      <c r="NWU4" s="564"/>
      <c r="NWV4" s="564"/>
      <c r="NWW4" s="564"/>
      <c r="NWX4" s="564"/>
      <c r="NWY4" s="564"/>
      <c r="NWZ4" s="564"/>
      <c r="NXA4" s="564"/>
      <c r="NXB4" s="564"/>
      <c r="NXC4" s="564"/>
      <c r="NXD4" s="564"/>
      <c r="NXE4" s="564"/>
      <c r="NXF4" s="564"/>
      <c r="NXG4" s="564"/>
      <c r="NXH4" s="564"/>
      <c r="NXI4" s="564"/>
      <c r="NXJ4" s="564"/>
      <c r="NXK4" s="564"/>
      <c r="NXL4" s="564"/>
      <c r="NXM4" s="564"/>
      <c r="NXN4" s="564"/>
      <c r="NXO4" s="564"/>
      <c r="NXP4" s="564"/>
      <c r="NXQ4" s="564"/>
      <c r="NXR4" s="564"/>
      <c r="NXS4" s="564"/>
      <c r="NXT4" s="564"/>
      <c r="NXU4" s="564"/>
      <c r="NXV4" s="564"/>
      <c r="NXW4" s="564"/>
      <c r="NXX4" s="564"/>
      <c r="NXY4" s="564"/>
      <c r="NXZ4" s="564"/>
      <c r="NYA4" s="564"/>
      <c r="NYB4" s="564"/>
      <c r="NYC4" s="564"/>
      <c r="NYD4" s="564"/>
      <c r="NYE4" s="564"/>
      <c r="NYF4" s="564"/>
      <c r="NYG4" s="564"/>
      <c r="NYH4" s="564"/>
      <c r="NYI4" s="564"/>
      <c r="NYJ4" s="564"/>
      <c r="NYK4" s="564"/>
      <c r="NYL4" s="564"/>
      <c r="NYM4" s="564"/>
      <c r="NYN4" s="564"/>
      <c r="NYO4" s="564"/>
      <c r="NYP4" s="564"/>
      <c r="NYQ4" s="564"/>
      <c r="NYR4" s="564"/>
      <c r="NYS4" s="564"/>
      <c r="NYT4" s="564"/>
      <c r="NYU4" s="564"/>
      <c r="NYV4" s="564"/>
      <c r="NYW4" s="564"/>
      <c r="NYX4" s="564"/>
      <c r="NYY4" s="564"/>
      <c r="NYZ4" s="564"/>
      <c r="NZA4" s="564"/>
      <c r="NZB4" s="564"/>
      <c r="NZC4" s="564"/>
      <c r="NZD4" s="564"/>
      <c r="NZE4" s="564"/>
      <c r="NZF4" s="564"/>
      <c r="NZG4" s="564"/>
      <c r="NZH4" s="564"/>
      <c r="NZI4" s="564"/>
      <c r="NZJ4" s="564"/>
      <c r="NZK4" s="564"/>
      <c r="NZL4" s="564"/>
      <c r="NZM4" s="564"/>
      <c r="NZN4" s="564"/>
      <c r="NZO4" s="564"/>
      <c r="NZP4" s="564"/>
      <c r="NZQ4" s="564"/>
      <c r="NZR4" s="564"/>
      <c r="NZS4" s="564"/>
      <c r="NZT4" s="564"/>
      <c r="NZU4" s="564"/>
      <c r="NZV4" s="564"/>
      <c r="NZW4" s="564"/>
      <c r="NZX4" s="564"/>
      <c r="NZY4" s="564"/>
      <c r="NZZ4" s="564"/>
      <c r="OAA4" s="564"/>
      <c r="OAB4" s="564"/>
      <c r="OAC4" s="564"/>
      <c r="OAD4" s="564"/>
      <c r="OAE4" s="564"/>
      <c r="OAF4" s="564"/>
      <c r="OAG4" s="564"/>
      <c r="OAH4" s="564"/>
      <c r="OAI4" s="564"/>
      <c r="OAJ4" s="564"/>
      <c r="OAK4" s="564"/>
      <c r="OAL4" s="564"/>
      <c r="OAM4" s="564"/>
      <c r="OAN4" s="564"/>
      <c r="OAO4" s="564"/>
      <c r="OAP4" s="564"/>
      <c r="OAQ4" s="564"/>
      <c r="OAR4" s="564"/>
      <c r="OAS4" s="564"/>
      <c r="OAT4" s="564"/>
      <c r="OAU4" s="564"/>
      <c r="OAV4" s="564"/>
      <c r="OAW4" s="564"/>
      <c r="OAX4" s="564"/>
      <c r="OAY4" s="564"/>
      <c r="OAZ4" s="564"/>
      <c r="OBA4" s="564"/>
      <c r="OBB4" s="564"/>
      <c r="OBC4" s="564"/>
      <c r="OBD4" s="564"/>
      <c r="OBE4" s="564"/>
      <c r="OBF4" s="564"/>
      <c r="OBG4" s="564"/>
      <c r="OBH4" s="564"/>
      <c r="OBI4" s="564"/>
      <c r="OBJ4" s="564"/>
      <c r="OBK4" s="564"/>
      <c r="OBL4" s="564"/>
      <c r="OBM4" s="564"/>
      <c r="OBN4" s="564"/>
      <c r="OBO4" s="564"/>
      <c r="OBP4" s="564"/>
      <c r="OBQ4" s="564"/>
      <c r="OBR4" s="564"/>
      <c r="OBS4" s="564"/>
      <c r="OBT4" s="564"/>
      <c r="OBU4" s="564"/>
      <c r="OBV4" s="564"/>
      <c r="OBW4" s="564"/>
      <c r="OBX4" s="564"/>
      <c r="OBY4" s="564"/>
      <c r="OBZ4" s="564"/>
      <c r="OCA4" s="564"/>
      <c r="OCB4" s="564"/>
      <c r="OCC4" s="564"/>
      <c r="OCD4" s="564"/>
      <c r="OCE4" s="564"/>
      <c r="OCF4" s="564"/>
      <c r="OCG4" s="564"/>
      <c r="OCH4" s="564"/>
      <c r="OCI4" s="564"/>
      <c r="OCJ4" s="564"/>
      <c r="OCK4" s="564"/>
      <c r="OCL4" s="564"/>
      <c r="OCM4" s="564"/>
      <c r="OCN4" s="564"/>
      <c r="OCO4" s="564"/>
      <c r="OCP4" s="564"/>
      <c r="OCQ4" s="564"/>
      <c r="OCR4" s="564"/>
      <c r="OCS4" s="564"/>
      <c r="OCT4" s="564"/>
      <c r="OCU4" s="564"/>
      <c r="OCV4" s="564"/>
      <c r="OCW4" s="564"/>
      <c r="OCX4" s="564"/>
      <c r="OCY4" s="564"/>
      <c r="OCZ4" s="564"/>
      <c r="ODA4" s="564"/>
      <c r="ODB4" s="564"/>
      <c r="ODC4" s="564"/>
      <c r="ODD4" s="564"/>
      <c r="ODE4" s="564"/>
      <c r="ODF4" s="564"/>
      <c r="ODG4" s="564"/>
      <c r="ODH4" s="564"/>
      <c r="ODI4" s="564"/>
      <c r="ODJ4" s="564"/>
      <c r="ODK4" s="564"/>
      <c r="ODL4" s="564"/>
      <c r="ODM4" s="564"/>
      <c r="ODN4" s="564"/>
      <c r="ODO4" s="564"/>
      <c r="ODP4" s="564"/>
      <c r="ODQ4" s="564"/>
      <c r="ODR4" s="564"/>
      <c r="ODS4" s="564"/>
      <c r="ODT4" s="564"/>
      <c r="ODU4" s="564"/>
      <c r="ODV4" s="564"/>
      <c r="ODW4" s="564"/>
      <c r="ODX4" s="564"/>
      <c r="ODY4" s="564"/>
      <c r="ODZ4" s="564"/>
      <c r="OEA4" s="564"/>
      <c r="OEB4" s="564"/>
      <c r="OEC4" s="564"/>
      <c r="OED4" s="564"/>
      <c r="OEE4" s="564"/>
      <c r="OEF4" s="564"/>
      <c r="OEG4" s="564"/>
      <c r="OEH4" s="564"/>
      <c r="OEI4" s="564"/>
      <c r="OEJ4" s="564"/>
      <c r="OEK4" s="564"/>
      <c r="OEL4" s="564"/>
      <c r="OEM4" s="564"/>
      <c r="OEN4" s="564"/>
      <c r="OEO4" s="564"/>
      <c r="OEP4" s="564"/>
      <c r="OEQ4" s="564"/>
      <c r="OER4" s="564"/>
      <c r="OES4" s="564"/>
      <c r="OET4" s="564"/>
      <c r="OEU4" s="564"/>
      <c r="OEV4" s="564"/>
      <c r="OEW4" s="564"/>
      <c r="OEX4" s="564"/>
      <c r="OEY4" s="564"/>
      <c r="OEZ4" s="564"/>
      <c r="OFA4" s="564"/>
      <c r="OFB4" s="564"/>
      <c r="OFC4" s="564"/>
      <c r="OFD4" s="564"/>
      <c r="OFE4" s="564"/>
      <c r="OFF4" s="564"/>
      <c r="OFG4" s="564"/>
      <c r="OFH4" s="564"/>
      <c r="OFI4" s="564"/>
      <c r="OFJ4" s="564"/>
      <c r="OFK4" s="564"/>
      <c r="OFL4" s="564"/>
      <c r="OFM4" s="564"/>
      <c r="OFN4" s="564"/>
      <c r="OFO4" s="564"/>
      <c r="OFP4" s="564"/>
      <c r="OFQ4" s="564"/>
      <c r="OFR4" s="564"/>
      <c r="OFS4" s="564"/>
      <c r="OFT4" s="564"/>
      <c r="OFU4" s="564"/>
      <c r="OFV4" s="564"/>
      <c r="OFW4" s="564"/>
      <c r="OFX4" s="564"/>
      <c r="OFY4" s="564"/>
      <c r="OFZ4" s="564"/>
      <c r="OGA4" s="564"/>
      <c r="OGB4" s="564"/>
      <c r="OGC4" s="564"/>
      <c r="OGD4" s="564"/>
      <c r="OGE4" s="564"/>
      <c r="OGF4" s="564"/>
      <c r="OGG4" s="564"/>
      <c r="OGH4" s="564"/>
      <c r="OGI4" s="564"/>
      <c r="OGJ4" s="564"/>
      <c r="OGK4" s="564"/>
      <c r="OGL4" s="564"/>
      <c r="OGM4" s="564"/>
      <c r="OGN4" s="564"/>
      <c r="OGO4" s="564"/>
      <c r="OGP4" s="564"/>
      <c r="OGQ4" s="564"/>
      <c r="OGR4" s="564"/>
      <c r="OGS4" s="564"/>
      <c r="OGT4" s="564"/>
      <c r="OGU4" s="564"/>
      <c r="OGV4" s="564"/>
      <c r="OGW4" s="564"/>
      <c r="OGX4" s="564"/>
      <c r="OGY4" s="564"/>
      <c r="OGZ4" s="564"/>
      <c r="OHA4" s="564"/>
      <c r="OHB4" s="564"/>
      <c r="OHC4" s="564"/>
      <c r="OHD4" s="564"/>
      <c r="OHE4" s="564"/>
      <c r="OHF4" s="564"/>
      <c r="OHG4" s="564"/>
      <c r="OHH4" s="564"/>
      <c r="OHI4" s="564"/>
      <c r="OHJ4" s="564"/>
      <c r="OHK4" s="564"/>
      <c r="OHL4" s="564"/>
      <c r="OHM4" s="564"/>
      <c r="OHN4" s="564"/>
      <c r="OHO4" s="564"/>
      <c r="OHP4" s="564"/>
      <c r="OHQ4" s="564"/>
      <c r="OHR4" s="564"/>
      <c r="OHS4" s="564"/>
      <c r="OHT4" s="564"/>
      <c r="OHU4" s="564"/>
      <c r="OHV4" s="564"/>
      <c r="OHW4" s="564"/>
      <c r="OHX4" s="564"/>
      <c r="OHY4" s="564"/>
      <c r="OHZ4" s="564"/>
      <c r="OIA4" s="564"/>
      <c r="OIB4" s="564"/>
      <c r="OIC4" s="564"/>
      <c r="OID4" s="564"/>
      <c r="OIE4" s="564"/>
      <c r="OIF4" s="564"/>
      <c r="OIG4" s="564"/>
      <c r="OIH4" s="564"/>
      <c r="OII4" s="564"/>
      <c r="OIJ4" s="564"/>
      <c r="OIK4" s="564"/>
      <c r="OIL4" s="564"/>
      <c r="OIM4" s="564"/>
      <c r="OIN4" s="564"/>
      <c r="OIO4" s="564"/>
      <c r="OIP4" s="564"/>
      <c r="OIQ4" s="564"/>
      <c r="OIR4" s="564"/>
      <c r="OIS4" s="564"/>
      <c r="OIT4" s="564"/>
      <c r="OIU4" s="564"/>
      <c r="OIV4" s="564"/>
      <c r="OIW4" s="564"/>
      <c r="OIX4" s="564"/>
      <c r="OIY4" s="564"/>
      <c r="OIZ4" s="564"/>
      <c r="OJA4" s="564"/>
      <c r="OJB4" s="564"/>
      <c r="OJC4" s="564"/>
      <c r="OJD4" s="564"/>
      <c r="OJE4" s="564"/>
      <c r="OJF4" s="564"/>
      <c r="OJG4" s="564"/>
      <c r="OJH4" s="564"/>
      <c r="OJI4" s="564"/>
      <c r="OJJ4" s="564"/>
      <c r="OJK4" s="564"/>
      <c r="OJL4" s="564"/>
      <c r="OJM4" s="564"/>
      <c r="OJN4" s="564"/>
      <c r="OJO4" s="564"/>
      <c r="OJP4" s="564"/>
      <c r="OJQ4" s="564"/>
      <c r="OJR4" s="564"/>
      <c r="OJS4" s="564"/>
      <c r="OJT4" s="564"/>
      <c r="OJU4" s="564"/>
      <c r="OJV4" s="564"/>
      <c r="OJW4" s="564"/>
      <c r="OJX4" s="564"/>
      <c r="OJY4" s="564"/>
      <c r="OJZ4" s="564"/>
      <c r="OKA4" s="564"/>
      <c r="OKB4" s="564"/>
      <c r="OKC4" s="564"/>
      <c r="OKD4" s="564"/>
      <c r="OKE4" s="564"/>
      <c r="OKF4" s="564"/>
      <c r="OKG4" s="564"/>
      <c r="OKH4" s="564"/>
      <c r="OKI4" s="564"/>
      <c r="OKJ4" s="564"/>
      <c r="OKK4" s="564"/>
      <c r="OKL4" s="564"/>
      <c r="OKM4" s="564"/>
      <c r="OKN4" s="564"/>
      <c r="OKO4" s="564"/>
      <c r="OKP4" s="564"/>
      <c r="OKQ4" s="564"/>
      <c r="OKR4" s="564"/>
      <c r="OKS4" s="564"/>
      <c r="OKT4" s="564"/>
      <c r="OKU4" s="564"/>
      <c r="OKV4" s="564"/>
      <c r="OKW4" s="564"/>
      <c r="OKX4" s="564"/>
      <c r="OKY4" s="564"/>
      <c r="OKZ4" s="564"/>
      <c r="OLA4" s="564"/>
      <c r="OLB4" s="564"/>
      <c r="OLC4" s="564"/>
      <c r="OLD4" s="564"/>
      <c r="OLE4" s="564"/>
      <c r="OLF4" s="564"/>
      <c r="OLG4" s="564"/>
      <c r="OLH4" s="564"/>
      <c r="OLI4" s="564"/>
      <c r="OLJ4" s="564"/>
      <c r="OLK4" s="564"/>
      <c r="OLL4" s="564"/>
      <c r="OLM4" s="564"/>
      <c r="OLN4" s="564"/>
      <c r="OLO4" s="564"/>
      <c r="OLP4" s="564"/>
      <c r="OLQ4" s="564"/>
      <c r="OLR4" s="564"/>
      <c r="OLS4" s="564"/>
      <c r="OLT4" s="564"/>
      <c r="OLU4" s="564"/>
      <c r="OLV4" s="564"/>
      <c r="OLW4" s="564"/>
      <c r="OLX4" s="564"/>
      <c r="OLY4" s="564"/>
      <c r="OLZ4" s="564"/>
      <c r="OMA4" s="564"/>
      <c r="OMB4" s="564"/>
      <c r="OMC4" s="564"/>
      <c r="OMD4" s="564"/>
      <c r="OME4" s="564"/>
      <c r="OMF4" s="564"/>
      <c r="OMG4" s="564"/>
      <c r="OMH4" s="564"/>
      <c r="OMI4" s="564"/>
      <c r="OMJ4" s="564"/>
      <c r="OMK4" s="564"/>
      <c r="OML4" s="564"/>
      <c r="OMM4" s="564"/>
      <c r="OMN4" s="564"/>
      <c r="OMO4" s="564"/>
      <c r="OMP4" s="564"/>
      <c r="OMQ4" s="564"/>
      <c r="OMR4" s="564"/>
      <c r="OMS4" s="564"/>
      <c r="OMT4" s="564"/>
      <c r="OMU4" s="564"/>
      <c r="OMV4" s="564"/>
      <c r="OMW4" s="564"/>
      <c r="OMX4" s="564"/>
      <c r="OMY4" s="564"/>
      <c r="OMZ4" s="564"/>
      <c r="ONA4" s="564"/>
      <c r="ONB4" s="564"/>
      <c r="ONC4" s="564"/>
      <c r="OND4" s="564"/>
      <c r="ONE4" s="564"/>
      <c r="ONF4" s="564"/>
      <c r="ONG4" s="564"/>
      <c r="ONH4" s="564"/>
      <c r="ONI4" s="564"/>
      <c r="ONJ4" s="564"/>
      <c r="ONK4" s="564"/>
      <c r="ONL4" s="564"/>
      <c r="ONM4" s="564"/>
      <c r="ONN4" s="564"/>
      <c r="ONO4" s="564"/>
      <c r="ONP4" s="564"/>
      <c r="ONQ4" s="564"/>
      <c r="ONR4" s="564"/>
      <c r="ONS4" s="564"/>
      <c r="ONT4" s="564"/>
      <c r="ONU4" s="564"/>
      <c r="ONV4" s="564"/>
      <c r="ONW4" s="564"/>
      <c r="ONX4" s="564"/>
      <c r="ONY4" s="564"/>
      <c r="ONZ4" s="564"/>
      <c r="OOA4" s="564"/>
      <c r="OOB4" s="564"/>
      <c r="OOC4" s="564"/>
      <c r="OOD4" s="564"/>
      <c r="OOE4" s="564"/>
      <c r="OOF4" s="564"/>
      <c r="OOG4" s="564"/>
      <c r="OOH4" s="564"/>
      <c r="OOI4" s="564"/>
      <c r="OOJ4" s="564"/>
      <c r="OOK4" s="564"/>
      <c r="OOL4" s="564"/>
      <c r="OOM4" s="564"/>
      <c r="OON4" s="564"/>
      <c r="OOO4" s="564"/>
      <c r="OOP4" s="564"/>
      <c r="OOQ4" s="564"/>
      <c r="OOR4" s="564"/>
      <c r="OOS4" s="564"/>
      <c r="OOT4" s="564"/>
      <c r="OOU4" s="564"/>
      <c r="OOV4" s="564"/>
      <c r="OOW4" s="564"/>
      <c r="OOX4" s="564"/>
      <c r="OOY4" s="564"/>
      <c r="OOZ4" s="564"/>
      <c r="OPA4" s="564"/>
      <c r="OPB4" s="564"/>
      <c r="OPC4" s="564"/>
      <c r="OPD4" s="564"/>
      <c r="OPE4" s="564"/>
      <c r="OPF4" s="564"/>
      <c r="OPG4" s="564"/>
      <c r="OPH4" s="564"/>
      <c r="OPI4" s="564"/>
      <c r="OPJ4" s="564"/>
      <c r="OPK4" s="564"/>
      <c r="OPL4" s="564"/>
      <c r="OPM4" s="564"/>
      <c r="OPN4" s="564"/>
      <c r="OPO4" s="564"/>
      <c r="OPP4" s="564"/>
      <c r="OPQ4" s="564"/>
      <c r="OPR4" s="564"/>
      <c r="OPS4" s="564"/>
      <c r="OPT4" s="564"/>
      <c r="OPU4" s="564"/>
      <c r="OPV4" s="564"/>
      <c r="OPW4" s="564"/>
      <c r="OPX4" s="564"/>
      <c r="OPY4" s="564"/>
      <c r="OPZ4" s="564"/>
      <c r="OQA4" s="564"/>
      <c r="OQB4" s="564"/>
      <c r="OQC4" s="564"/>
      <c r="OQD4" s="564"/>
      <c r="OQE4" s="564"/>
      <c r="OQF4" s="564"/>
      <c r="OQG4" s="564"/>
      <c r="OQH4" s="564"/>
      <c r="OQI4" s="564"/>
      <c r="OQJ4" s="564"/>
      <c r="OQK4" s="564"/>
      <c r="OQL4" s="564"/>
      <c r="OQM4" s="564"/>
      <c r="OQN4" s="564"/>
      <c r="OQO4" s="564"/>
      <c r="OQP4" s="564"/>
      <c r="OQQ4" s="564"/>
      <c r="OQR4" s="564"/>
      <c r="OQS4" s="564"/>
      <c r="OQT4" s="564"/>
      <c r="OQU4" s="564"/>
      <c r="OQV4" s="564"/>
      <c r="OQW4" s="564"/>
      <c r="OQX4" s="564"/>
      <c r="OQY4" s="564"/>
      <c r="OQZ4" s="564"/>
      <c r="ORA4" s="564"/>
      <c r="ORB4" s="564"/>
      <c r="ORC4" s="564"/>
      <c r="ORD4" s="564"/>
      <c r="ORE4" s="564"/>
      <c r="ORF4" s="564"/>
      <c r="ORG4" s="564"/>
      <c r="ORH4" s="564"/>
      <c r="ORI4" s="564"/>
      <c r="ORJ4" s="564"/>
      <c r="ORK4" s="564"/>
      <c r="ORL4" s="564"/>
      <c r="ORM4" s="564"/>
      <c r="ORN4" s="564"/>
      <c r="ORO4" s="564"/>
      <c r="ORP4" s="564"/>
      <c r="ORQ4" s="564"/>
      <c r="ORR4" s="564"/>
      <c r="ORS4" s="564"/>
      <c r="ORT4" s="564"/>
      <c r="ORU4" s="564"/>
      <c r="ORV4" s="564"/>
      <c r="ORW4" s="564"/>
      <c r="ORX4" s="564"/>
      <c r="ORY4" s="564"/>
      <c r="ORZ4" s="564"/>
      <c r="OSA4" s="564"/>
      <c r="OSB4" s="564"/>
      <c r="OSC4" s="564"/>
      <c r="OSD4" s="564"/>
      <c r="OSE4" s="564"/>
      <c r="OSF4" s="564"/>
      <c r="OSG4" s="564"/>
      <c r="OSH4" s="564"/>
      <c r="OSI4" s="564"/>
      <c r="OSJ4" s="564"/>
      <c r="OSK4" s="564"/>
      <c r="OSL4" s="564"/>
      <c r="OSM4" s="564"/>
      <c r="OSN4" s="564"/>
      <c r="OSO4" s="564"/>
      <c r="OSP4" s="564"/>
      <c r="OSQ4" s="564"/>
      <c r="OSR4" s="564"/>
      <c r="OSS4" s="564"/>
      <c r="OST4" s="564"/>
      <c r="OSU4" s="564"/>
      <c r="OSV4" s="564"/>
      <c r="OSW4" s="564"/>
      <c r="OSX4" s="564"/>
      <c r="OSY4" s="564"/>
      <c r="OSZ4" s="564"/>
      <c r="OTA4" s="564"/>
      <c r="OTB4" s="564"/>
      <c r="OTC4" s="564"/>
      <c r="OTD4" s="564"/>
      <c r="OTE4" s="564"/>
      <c r="OTF4" s="564"/>
      <c r="OTG4" s="564"/>
      <c r="OTH4" s="564"/>
      <c r="OTI4" s="564"/>
      <c r="OTJ4" s="564"/>
      <c r="OTK4" s="564"/>
      <c r="OTL4" s="564"/>
      <c r="OTM4" s="564"/>
      <c r="OTN4" s="564"/>
      <c r="OTO4" s="564"/>
      <c r="OTP4" s="564"/>
      <c r="OTQ4" s="564"/>
      <c r="OTR4" s="564"/>
      <c r="OTS4" s="564"/>
      <c r="OTT4" s="564"/>
      <c r="OTU4" s="564"/>
      <c r="OTV4" s="564"/>
      <c r="OTW4" s="564"/>
      <c r="OTX4" s="564"/>
      <c r="OTY4" s="564"/>
      <c r="OTZ4" s="564"/>
      <c r="OUA4" s="564"/>
      <c r="OUB4" s="564"/>
      <c r="OUC4" s="564"/>
      <c r="OUD4" s="564"/>
      <c r="OUE4" s="564"/>
      <c r="OUF4" s="564"/>
      <c r="OUG4" s="564"/>
      <c r="OUH4" s="564"/>
      <c r="OUI4" s="564"/>
      <c r="OUJ4" s="564"/>
      <c r="OUK4" s="564"/>
      <c r="OUL4" s="564"/>
      <c r="OUM4" s="564"/>
      <c r="OUN4" s="564"/>
      <c r="OUO4" s="564"/>
      <c r="OUP4" s="564"/>
      <c r="OUQ4" s="564"/>
      <c r="OUR4" s="564"/>
      <c r="OUS4" s="564"/>
      <c r="OUT4" s="564"/>
      <c r="OUU4" s="564"/>
      <c r="OUV4" s="564"/>
      <c r="OUW4" s="564"/>
      <c r="OUX4" s="564"/>
      <c r="OUY4" s="564"/>
      <c r="OUZ4" s="564"/>
      <c r="OVA4" s="564"/>
      <c r="OVB4" s="564"/>
      <c r="OVC4" s="564"/>
      <c r="OVD4" s="564"/>
      <c r="OVE4" s="564"/>
      <c r="OVF4" s="564"/>
      <c r="OVG4" s="564"/>
      <c r="OVH4" s="564"/>
      <c r="OVI4" s="564"/>
      <c r="OVJ4" s="564"/>
      <c r="OVK4" s="564"/>
      <c r="OVL4" s="564"/>
      <c r="OVM4" s="564"/>
      <c r="OVN4" s="564"/>
      <c r="OVO4" s="564"/>
      <c r="OVP4" s="564"/>
      <c r="OVQ4" s="564"/>
      <c r="OVR4" s="564"/>
      <c r="OVS4" s="564"/>
      <c r="OVT4" s="564"/>
      <c r="OVU4" s="564"/>
      <c r="OVV4" s="564"/>
      <c r="OVW4" s="564"/>
      <c r="OVX4" s="564"/>
      <c r="OVY4" s="564"/>
      <c r="OVZ4" s="564"/>
      <c r="OWA4" s="564"/>
      <c r="OWB4" s="564"/>
      <c r="OWC4" s="564"/>
      <c r="OWD4" s="564"/>
      <c r="OWE4" s="564"/>
      <c r="OWF4" s="564"/>
      <c r="OWG4" s="564"/>
      <c r="OWH4" s="564"/>
      <c r="OWI4" s="564"/>
      <c r="OWJ4" s="564"/>
      <c r="OWK4" s="564"/>
      <c r="OWL4" s="564"/>
      <c r="OWM4" s="564"/>
      <c r="OWN4" s="564"/>
      <c r="OWO4" s="564"/>
      <c r="OWP4" s="564"/>
      <c r="OWQ4" s="564"/>
      <c r="OWR4" s="564"/>
      <c r="OWS4" s="564"/>
      <c r="OWT4" s="564"/>
      <c r="OWU4" s="564"/>
      <c r="OWV4" s="564"/>
      <c r="OWW4" s="564"/>
      <c r="OWX4" s="564"/>
      <c r="OWY4" s="564"/>
      <c r="OWZ4" s="564"/>
      <c r="OXA4" s="564"/>
      <c r="OXB4" s="564"/>
      <c r="OXC4" s="564"/>
      <c r="OXD4" s="564"/>
      <c r="OXE4" s="564"/>
      <c r="OXF4" s="564"/>
      <c r="OXG4" s="564"/>
      <c r="OXH4" s="564"/>
      <c r="OXI4" s="564"/>
      <c r="OXJ4" s="564"/>
      <c r="OXK4" s="564"/>
      <c r="OXL4" s="564"/>
      <c r="OXM4" s="564"/>
      <c r="OXN4" s="564"/>
      <c r="OXO4" s="564"/>
      <c r="OXP4" s="564"/>
      <c r="OXQ4" s="564"/>
      <c r="OXR4" s="564"/>
      <c r="OXS4" s="564"/>
      <c r="OXT4" s="564"/>
      <c r="OXU4" s="564"/>
      <c r="OXV4" s="564"/>
      <c r="OXW4" s="564"/>
      <c r="OXX4" s="564"/>
      <c r="OXY4" s="564"/>
      <c r="OXZ4" s="564"/>
      <c r="OYA4" s="564"/>
      <c r="OYB4" s="564"/>
      <c r="OYC4" s="564"/>
      <c r="OYD4" s="564"/>
      <c r="OYE4" s="564"/>
      <c r="OYF4" s="564"/>
      <c r="OYG4" s="564"/>
      <c r="OYH4" s="564"/>
      <c r="OYI4" s="564"/>
      <c r="OYJ4" s="564"/>
      <c r="OYK4" s="564"/>
      <c r="OYL4" s="564"/>
      <c r="OYM4" s="564"/>
      <c r="OYN4" s="564"/>
      <c r="OYO4" s="564"/>
      <c r="OYP4" s="564"/>
      <c r="OYQ4" s="564"/>
      <c r="OYR4" s="564"/>
      <c r="OYS4" s="564"/>
      <c r="OYT4" s="564"/>
      <c r="OYU4" s="564"/>
      <c r="OYV4" s="564"/>
      <c r="OYW4" s="564"/>
      <c r="OYX4" s="564"/>
      <c r="OYY4" s="564"/>
      <c r="OYZ4" s="564"/>
      <c r="OZA4" s="564"/>
      <c r="OZB4" s="564"/>
      <c r="OZC4" s="564"/>
      <c r="OZD4" s="564"/>
      <c r="OZE4" s="564"/>
      <c r="OZF4" s="564"/>
      <c r="OZG4" s="564"/>
      <c r="OZH4" s="564"/>
      <c r="OZI4" s="564"/>
      <c r="OZJ4" s="564"/>
      <c r="OZK4" s="564"/>
      <c r="OZL4" s="564"/>
      <c r="OZM4" s="564"/>
      <c r="OZN4" s="564"/>
      <c r="OZO4" s="564"/>
      <c r="OZP4" s="564"/>
      <c r="OZQ4" s="564"/>
      <c r="OZR4" s="564"/>
      <c r="OZS4" s="564"/>
      <c r="OZT4" s="564"/>
      <c r="OZU4" s="564"/>
      <c r="OZV4" s="564"/>
      <c r="OZW4" s="564"/>
      <c r="OZX4" s="564"/>
      <c r="OZY4" s="564"/>
      <c r="OZZ4" s="564"/>
      <c r="PAA4" s="564"/>
      <c r="PAB4" s="564"/>
      <c r="PAC4" s="564"/>
      <c r="PAD4" s="564"/>
      <c r="PAE4" s="564"/>
      <c r="PAF4" s="564"/>
      <c r="PAG4" s="564"/>
      <c r="PAH4" s="564"/>
      <c r="PAI4" s="564"/>
      <c r="PAJ4" s="564"/>
      <c r="PAK4" s="564"/>
      <c r="PAL4" s="564"/>
      <c r="PAM4" s="564"/>
      <c r="PAN4" s="564"/>
      <c r="PAO4" s="564"/>
      <c r="PAP4" s="564"/>
      <c r="PAQ4" s="564"/>
      <c r="PAR4" s="564"/>
      <c r="PAS4" s="564"/>
      <c r="PAT4" s="564"/>
      <c r="PAU4" s="564"/>
      <c r="PAV4" s="564"/>
      <c r="PAW4" s="564"/>
      <c r="PAX4" s="564"/>
      <c r="PAY4" s="564"/>
      <c r="PAZ4" s="564"/>
      <c r="PBA4" s="564"/>
      <c r="PBB4" s="564"/>
      <c r="PBC4" s="564"/>
      <c r="PBD4" s="564"/>
      <c r="PBE4" s="564"/>
      <c r="PBF4" s="564"/>
      <c r="PBG4" s="564"/>
      <c r="PBH4" s="564"/>
      <c r="PBI4" s="564"/>
      <c r="PBJ4" s="564"/>
      <c r="PBK4" s="564"/>
      <c r="PBL4" s="564"/>
      <c r="PBM4" s="564"/>
      <c r="PBN4" s="564"/>
      <c r="PBO4" s="564"/>
      <c r="PBP4" s="564"/>
      <c r="PBQ4" s="564"/>
      <c r="PBR4" s="564"/>
      <c r="PBS4" s="564"/>
      <c r="PBT4" s="564"/>
      <c r="PBU4" s="564"/>
      <c r="PBV4" s="564"/>
      <c r="PBW4" s="564"/>
      <c r="PBX4" s="564"/>
      <c r="PBY4" s="564"/>
      <c r="PBZ4" s="564"/>
      <c r="PCA4" s="564"/>
      <c r="PCB4" s="564"/>
      <c r="PCC4" s="564"/>
      <c r="PCD4" s="564"/>
      <c r="PCE4" s="564"/>
      <c r="PCF4" s="564"/>
      <c r="PCG4" s="564"/>
      <c r="PCH4" s="564"/>
      <c r="PCI4" s="564"/>
      <c r="PCJ4" s="564"/>
      <c r="PCK4" s="564"/>
      <c r="PCL4" s="564"/>
      <c r="PCM4" s="564"/>
      <c r="PCN4" s="564"/>
      <c r="PCO4" s="564"/>
      <c r="PCP4" s="564"/>
      <c r="PCQ4" s="564"/>
      <c r="PCR4" s="564"/>
      <c r="PCS4" s="564"/>
      <c r="PCT4" s="564"/>
      <c r="PCU4" s="564"/>
      <c r="PCV4" s="564"/>
      <c r="PCW4" s="564"/>
      <c r="PCX4" s="564"/>
      <c r="PCY4" s="564"/>
      <c r="PCZ4" s="564"/>
      <c r="PDA4" s="564"/>
      <c r="PDB4" s="564"/>
      <c r="PDC4" s="564"/>
      <c r="PDD4" s="564"/>
      <c r="PDE4" s="564"/>
      <c r="PDF4" s="564"/>
      <c r="PDG4" s="564"/>
      <c r="PDH4" s="564"/>
      <c r="PDI4" s="564"/>
      <c r="PDJ4" s="564"/>
      <c r="PDK4" s="564"/>
      <c r="PDL4" s="564"/>
      <c r="PDM4" s="564"/>
      <c r="PDN4" s="564"/>
      <c r="PDO4" s="564"/>
      <c r="PDP4" s="564"/>
      <c r="PDQ4" s="564"/>
      <c r="PDR4" s="564"/>
      <c r="PDS4" s="564"/>
      <c r="PDT4" s="564"/>
      <c r="PDU4" s="564"/>
      <c r="PDV4" s="564"/>
      <c r="PDW4" s="564"/>
      <c r="PDX4" s="564"/>
      <c r="PDY4" s="564"/>
      <c r="PDZ4" s="564"/>
      <c r="PEA4" s="564"/>
      <c r="PEB4" s="564"/>
      <c r="PEC4" s="564"/>
      <c r="PED4" s="564"/>
      <c r="PEE4" s="564"/>
      <c r="PEF4" s="564"/>
      <c r="PEG4" s="564"/>
      <c r="PEH4" s="564"/>
      <c r="PEI4" s="564"/>
      <c r="PEJ4" s="564"/>
      <c r="PEK4" s="564"/>
      <c r="PEL4" s="564"/>
      <c r="PEM4" s="564"/>
      <c r="PEN4" s="564"/>
      <c r="PEO4" s="564"/>
      <c r="PEP4" s="564"/>
      <c r="PEQ4" s="564"/>
      <c r="PER4" s="564"/>
      <c r="PES4" s="564"/>
      <c r="PET4" s="564"/>
      <c r="PEU4" s="564"/>
      <c r="PEV4" s="564"/>
      <c r="PEW4" s="564"/>
      <c r="PEX4" s="564"/>
      <c r="PEY4" s="564"/>
      <c r="PEZ4" s="564"/>
      <c r="PFA4" s="564"/>
      <c r="PFB4" s="564"/>
      <c r="PFC4" s="564"/>
      <c r="PFD4" s="564"/>
      <c r="PFE4" s="564"/>
      <c r="PFF4" s="564"/>
      <c r="PFG4" s="564"/>
      <c r="PFH4" s="564"/>
      <c r="PFI4" s="564"/>
      <c r="PFJ4" s="564"/>
      <c r="PFK4" s="564"/>
      <c r="PFL4" s="564"/>
      <c r="PFM4" s="564"/>
      <c r="PFN4" s="564"/>
      <c r="PFO4" s="564"/>
      <c r="PFP4" s="564"/>
      <c r="PFQ4" s="564"/>
      <c r="PFR4" s="564"/>
      <c r="PFS4" s="564"/>
      <c r="PFT4" s="564"/>
      <c r="PFU4" s="564"/>
      <c r="PFV4" s="564"/>
      <c r="PFW4" s="564"/>
      <c r="PFX4" s="564"/>
      <c r="PFY4" s="564"/>
      <c r="PFZ4" s="564"/>
      <c r="PGA4" s="564"/>
      <c r="PGB4" s="564"/>
      <c r="PGC4" s="564"/>
      <c r="PGD4" s="564"/>
      <c r="PGE4" s="564"/>
      <c r="PGF4" s="564"/>
      <c r="PGG4" s="564"/>
      <c r="PGH4" s="564"/>
      <c r="PGI4" s="564"/>
      <c r="PGJ4" s="564"/>
      <c r="PGK4" s="564"/>
      <c r="PGL4" s="564"/>
      <c r="PGM4" s="564"/>
      <c r="PGN4" s="564"/>
      <c r="PGO4" s="564"/>
      <c r="PGP4" s="564"/>
      <c r="PGQ4" s="564"/>
      <c r="PGR4" s="564"/>
      <c r="PGS4" s="564"/>
      <c r="PGT4" s="564"/>
      <c r="PGU4" s="564"/>
      <c r="PGV4" s="564"/>
      <c r="PGW4" s="564"/>
      <c r="PGX4" s="564"/>
      <c r="PGY4" s="564"/>
      <c r="PGZ4" s="564"/>
      <c r="PHA4" s="564"/>
      <c r="PHB4" s="564"/>
      <c r="PHC4" s="564"/>
      <c r="PHD4" s="564"/>
      <c r="PHE4" s="564"/>
      <c r="PHF4" s="564"/>
      <c r="PHG4" s="564"/>
      <c r="PHH4" s="564"/>
      <c r="PHI4" s="564"/>
      <c r="PHJ4" s="564"/>
      <c r="PHK4" s="564"/>
      <c r="PHL4" s="564"/>
      <c r="PHM4" s="564"/>
      <c r="PHN4" s="564"/>
      <c r="PHO4" s="564"/>
      <c r="PHP4" s="564"/>
      <c r="PHQ4" s="564"/>
      <c r="PHR4" s="564"/>
      <c r="PHS4" s="564"/>
      <c r="PHT4" s="564"/>
      <c r="PHU4" s="564"/>
      <c r="PHV4" s="564"/>
      <c r="PHW4" s="564"/>
      <c r="PHX4" s="564"/>
      <c r="PHY4" s="564"/>
      <c r="PHZ4" s="564"/>
      <c r="PIA4" s="564"/>
      <c r="PIB4" s="564"/>
      <c r="PIC4" s="564"/>
      <c r="PID4" s="564"/>
      <c r="PIE4" s="564"/>
      <c r="PIF4" s="564"/>
      <c r="PIG4" s="564"/>
      <c r="PIH4" s="564"/>
      <c r="PII4" s="564"/>
      <c r="PIJ4" s="564"/>
      <c r="PIK4" s="564"/>
      <c r="PIL4" s="564"/>
      <c r="PIM4" s="564"/>
      <c r="PIN4" s="564"/>
      <c r="PIO4" s="564"/>
      <c r="PIP4" s="564"/>
      <c r="PIQ4" s="564"/>
      <c r="PIR4" s="564"/>
      <c r="PIS4" s="564"/>
      <c r="PIT4" s="564"/>
      <c r="PIU4" s="564"/>
      <c r="PIV4" s="564"/>
      <c r="PIW4" s="564"/>
      <c r="PIX4" s="564"/>
      <c r="PIY4" s="564"/>
      <c r="PIZ4" s="564"/>
      <c r="PJA4" s="564"/>
      <c r="PJB4" s="564"/>
      <c r="PJC4" s="564"/>
      <c r="PJD4" s="564"/>
      <c r="PJE4" s="564"/>
      <c r="PJF4" s="564"/>
      <c r="PJG4" s="564"/>
      <c r="PJH4" s="564"/>
      <c r="PJI4" s="564"/>
      <c r="PJJ4" s="564"/>
      <c r="PJK4" s="564"/>
      <c r="PJL4" s="564"/>
      <c r="PJM4" s="564"/>
      <c r="PJN4" s="564"/>
      <c r="PJO4" s="564"/>
      <c r="PJP4" s="564"/>
      <c r="PJQ4" s="564"/>
      <c r="PJR4" s="564"/>
      <c r="PJS4" s="564"/>
      <c r="PJT4" s="564"/>
      <c r="PJU4" s="564"/>
      <c r="PJV4" s="564"/>
      <c r="PJW4" s="564"/>
      <c r="PJX4" s="564"/>
      <c r="PJY4" s="564"/>
      <c r="PJZ4" s="564"/>
      <c r="PKA4" s="564"/>
      <c r="PKB4" s="564"/>
      <c r="PKC4" s="564"/>
      <c r="PKD4" s="564"/>
      <c r="PKE4" s="564"/>
      <c r="PKF4" s="564"/>
      <c r="PKG4" s="564"/>
      <c r="PKH4" s="564"/>
      <c r="PKI4" s="564"/>
      <c r="PKJ4" s="564"/>
      <c r="PKK4" s="564"/>
      <c r="PKL4" s="564"/>
      <c r="PKM4" s="564"/>
      <c r="PKN4" s="564"/>
      <c r="PKO4" s="564"/>
      <c r="PKP4" s="564"/>
      <c r="PKQ4" s="564"/>
      <c r="PKR4" s="564"/>
      <c r="PKS4" s="564"/>
      <c r="PKT4" s="564"/>
      <c r="PKU4" s="564"/>
      <c r="PKV4" s="564"/>
      <c r="PKW4" s="564"/>
      <c r="PKX4" s="564"/>
      <c r="PKY4" s="564"/>
      <c r="PKZ4" s="564"/>
      <c r="PLA4" s="564"/>
      <c r="PLB4" s="564"/>
      <c r="PLC4" s="564"/>
      <c r="PLD4" s="564"/>
      <c r="PLE4" s="564"/>
      <c r="PLF4" s="564"/>
      <c r="PLG4" s="564"/>
      <c r="PLH4" s="564"/>
      <c r="PLI4" s="564"/>
      <c r="PLJ4" s="564"/>
      <c r="PLK4" s="564"/>
      <c r="PLL4" s="564"/>
      <c r="PLM4" s="564"/>
      <c r="PLN4" s="564"/>
      <c r="PLO4" s="564"/>
      <c r="PLP4" s="564"/>
      <c r="PLQ4" s="564"/>
      <c r="PLR4" s="564"/>
      <c r="PLS4" s="564"/>
      <c r="PLT4" s="564"/>
      <c r="PLU4" s="564"/>
      <c r="PLV4" s="564"/>
      <c r="PLW4" s="564"/>
      <c r="PLX4" s="564"/>
      <c r="PLY4" s="564"/>
      <c r="PLZ4" s="564"/>
      <c r="PMA4" s="564"/>
      <c r="PMB4" s="564"/>
      <c r="PMC4" s="564"/>
      <c r="PMD4" s="564"/>
      <c r="PME4" s="564"/>
      <c r="PMF4" s="564"/>
      <c r="PMG4" s="564"/>
      <c r="PMH4" s="564"/>
      <c r="PMI4" s="564"/>
      <c r="PMJ4" s="564"/>
      <c r="PMK4" s="564"/>
      <c r="PML4" s="564"/>
      <c r="PMM4" s="564"/>
      <c r="PMN4" s="564"/>
      <c r="PMO4" s="564"/>
      <c r="PMP4" s="564"/>
      <c r="PMQ4" s="564"/>
      <c r="PMR4" s="564"/>
      <c r="PMS4" s="564"/>
      <c r="PMT4" s="564"/>
      <c r="PMU4" s="564"/>
      <c r="PMV4" s="564"/>
      <c r="PMW4" s="564"/>
      <c r="PMX4" s="564"/>
      <c r="PMY4" s="564"/>
      <c r="PMZ4" s="564"/>
      <c r="PNA4" s="564"/>
      <c r="PNB4" s="564"/>
      <c r="PNC4" s="564"/>
      <c r="PND4" s="564"/>
      <c r="PNE4" s="564"/>
      <c r="PNF4" s="564"/>
      <c r="PNG4" s="564"/>
      <c r="PNH4" s="564"/>
      <c r="PNI4" s="564"/>
      <c r="PNJ4" s="564"/>
      <c r="PNK4" s="564"/>
      <c r="PNL4" s="564"/>
      <c r="PNM4" s="564"/>
      <c r="PNN4" s="564"/>
      <c r="PNO4" s="564"/>
      <c r="PNP4" s="564"/>
      <c r="PNQ4" s="564"/>
      <c r="PNR4" s="564"/>
      <c r="PNS4" s="564"/>
      <c r="PNT4" s="564"/>
      <c r="PNU4" s="564"/>
      <c r="PNV4" s="564"/>
      <c r="PNW4" s="564"/>
      <c r="PNX4" s="564"/>
      <c r="PNY4" s="564"/>
      <c r="PNZ4" s="564"/>
      <c r="POA4" s="564"/>
      <c r="POB4" s="564"/>
      <c r="POC4" s="564"/>
      <c r="POD4" s="564"/>
      <c r="POE4" s="564"/>
      <c r="POF4" s="564"/>
      <c r="POG4" s="564"/>
      <c r="POH4" s="564"/>
      <c r="POI4" s="564"/>
      <c r="POJ4" s="564"/>
      <c r="POK4" s="564"/>
      <c r="POL4" s="564"/>
      <c r="POM4" s="564"/>
      <c r="PON4" s="564"/>
      <c r="POO4" s="564"/>
      <c r="POP4" s="564"/>
      <c r="POQ4" s="564"/>
      <c r="POR4" s="564"/>
      <c r="POS4" s="564"/>
      <c r="POT4" s="564"/>
      <c r="POU4" s="564"/>
      <c r="POV4" s="564"/>
      <c r="POW4" s="564"/>
      <c r="POX4" s="564"/>
      <c r="POY4" s="564"/>
      <c r="POZ4" s="564"/>
      <c r="PPA4" s="564"/>
      <c r="PPB4" s="564"/>
      <c r="PPC4" s="564"/>
      <c r="PPD4" s="564"/>
      <c r="PPE4" s="564"/>
      <c r="PPF4" s="564"/>
      <c r="PPG4" s="564"/>
      <c r="PPH4" s="564"/>
      <c r="PPI4" s="564"/>
      <c r="PPJ4" s="564"/>
      <c r="PPK4" s="564"/>
      <c r="PPL4" s="564"/>
      <c r="PPM4" s="564"/>
      <c r="PPN4" s="564"/>
      <c r="PPO4" s="564"/>
      <c r="PPP4" s="564"/>
      <c r="PPQ4" s="564"/>
      <c r="PPR4" s="564"/>
      <c r="PPS4" s="564"/>
      <c r="PPT4" s="564"/>
      <c r="PPU4" s="564"/>
      <c r="PPV4" s="564"/>
      <c r="PPW4" s="564"/>
      <c r="PPX4" s="564"/>
      <c r="PPY4" s="564"/>
      <c r="PPZ4" s="564"/>
      <c r="PQA4" s="564"/>
      <c r="PQB4" s="564"/>
      <c r="PQC4" s="564"/>
      <c r="PQD4" s="564"/>
      <c r="PQE4" s="564"/>
      <c r="PQF4" s="564"/>
      <c r="PQG4" s="564"/>
      <c r="PQH4" s="564"/>
      <c r="PQI4" s="564"/>
      <c r="PQJ4" s="564"/>
      <c r="PQK4" s="564"/>
      <c r="PQL4" s="564"/>
      <c r="PQM4" s="564"/>
      <c r="PQN4" s="564"/>
      <c r="PQO4" s="564"/>
      <c r="PQP4" s="564"/>
      <c r="PQQ4" s="564"/>
      <c r="PQR4" s="564"/>
      <c r="PQS4" s="564"/>
      <c r="PQT4" s="564"/>
      <c r="PQU4" s="564"/>
      <c r="PQV4" s="564"/>
      <c r="PQW4" s="564"/>
      <c r="PQX4" s="564"/>
      <c r="PQY4" s="564"/>
      <c r="PQZ4" s="564"/>
      <c r="PRA4" s="564"/>
      <c r="PRB4" s="564"/>
      <c r="PRC4" s="564"/>
      <c r="PRD4" s="564"/>
      <c r="PRE4" s="564"/>
      <c r="PRF4" s="564"/>
      <c r="PRG4" s="564"/>
      <c r="PRH4" s="564"/>
      <c r="PRI4" s="564"/>
      <c r="PRJ4" s="564"/>
      <c r="PRK4" s="564"/>
      <c r="PRL4" s="564"/>
      <c r="PRM4" s="564"/>
      <c r="PRN4" s="564"/>
      <c r="PRO4" s="564"/>
      <c r="PRP4" s="564"/>
      <c r="PRQ4" s="564"/>
      <c r="PRR4" s="564"/>
      <c r="PRS4" s="564"/>
      <c r="PRT4" s="564"/>
      <c r="PRU4" s="564"/>
      <c r="PRV4" s="564"/>
      <c r="PRW4" s="564"/>
      <c r="PRX4" s="564"/>
      <c r="PRY4" s="564"/>
      <c r="PRZ4" s="564"/>
      <c r="PSA4" s="564"/>
      <c r="PSB4" s="564"/>
      <c r="PSC4" s="564"/>
      <c r="PSD4" s="564"/>
      <c r="PSE4" s="564"/>
      <c r="PSF4" s="564"/>
      <c r="PSG4" s="564"/>
      <c r="PSH4" s="564"/>
      <c r="PSI4" s="564"/>
      <c r="PSJ4" s="564"/>
      <c r="PSK4" s="564"/>
      <c r="PSL4" s="564"/>
      <c r="PSM4" s="564"/>
      <c r="PSN4" s="564"/>
      <c r="PSO4" s="564"/>
      <c r="PSP4" s="564"/>
      <c r="PSQ4" s="564"/>
      <c r="PSR4" s="564"/>
      <c r="PSS4" s="564"/>
      <c r="PST4" s="564"/>
      <c r="PSU4" s="564"/>
      <c r="PSV4" s="564"/>
      <c r="PSW4" s="564"/>
      <c r="PSX4" s="564"/>
      <c r="PSY4" s="564"/>
      <c r="PSZ4" s="564"/>
      <c r="PTA4" s="564"/>
      <c r="PTB4" s="564"/>
      <c r="PTC4" s="564"/>
      <c r="PTD4" s="564"/>
      <c r="PTE4" s="564"/>
      <c r="PTF4" s="564"/>
      <c r="PTG4" s="564"/>
      <c r="PTH4" s="564"/>
      <c r="PTI4" s="564"/>
      <c r="PTJ4" s="564"/>
      <c r="PTK4" s="564"/>
      <c r="PTL4" s="564"/>
      <c r="PTM4" s="564"/>
      <c r="PTN4" s="564"/>
      <c r="PTO4" s="564"/>
      <c r="PTP4" s="564"/>
      <c r="PTQ4" s="564"/>
      <c r="PTR4" s="564"/>
      <c r="PTS4" s="564"/>
      <c r="PTT4" s="564"/>
      <c r="PTU4" s="564"/>
      <c r="PTV4" s="564"/>
      <c r="PTW4" s="564"/>
      <c r="PTX4" s="564"/>
      <c r="PTY4" s="564"/>
      <c r="PTZ4" s="564"/>
      <c r="PUA4" s="564"/>
      <c r="PUB4" s="564"/>
      <c r="PUC4" s="564"/>
      <c r="PUD4" s="564"/>
      <c r="PUE4" s="564"/>
      <c r="PUF4" s="564"/>
      <c r="PUG4" s="564"/>
      <c r="PUH4" s="564"/>
      <c r="PUI4" s="564"/>
      <c r="PUJ4" s="564"/>
      <c r="PUK4" s="564"/>
      <c r="PUL4" s="564"/>
      <c r="PUM4" s="564"/>
      <c r="PUN4" s="564"/>
      <c r="PUO4" s="564"/>
      <c r="PUP4" s="564"/>
      <c r="PUQ4" s="564"/>
      <c r="PUR4" s="564"/>
      <c r="PUS4" s="564"/>
      <c r="PUT4" s="564"/>
      <c r="PUU4" s="564"/>
      <c r="PUV4" s="564"/>
      <c r="PUW4" s="564"/>
      <c r="PUX4" s="564"/>
      <c r="PUY4" s="564"/>
      <c r="PUZ4" s="564"/>
      <c r="PVA4" s="564"/>
      <c r="PVB4" s="564"/>
      <c r="PVC4" s="564"/>
      <c r="PVD4" s="564"/>
      <c r="PVE4" s="564"/>
      <c r="PVF4" s="564"/>
      <c r="PVG4" s="564"/>
      <c r="PVH4" s="564"/>
      <c r="PVI4" s="564"/>
      <c r="PVJ4" s="564"/>
      <c r="PVK4" s="564"/>
      <c r="PVL4" s="564"/>
      <c r="PVM4" s="564"/>
      <c r="PVN4" s="564"/>
      <c r="PVO4" s="564"/>
      <c r="PVP4" s="564"/>
      <c r="PVQ4" s="564"/>
      <c r="PVR4" s="564"/>
      <c r="PVS4" s="564"/>
      <c r="PVT4" s="564"/>
      <c r="PVU4" s="564"/>
      <c r="PVV4" s="564"/>
      <c r="PVW4" s="564"/>
      <c r="PVX4" s="564"/>
      <c r="PVY4" s="564"/>
      <c r="PVZ4" s="564"/>
      <c r="PWA4" s="564"/>
      <c r="PWB4" s="564"/>
      <c r="PWC4" s="564"/>
      <c r="PWD4" s="564"/>
      <c r="PWE4" s="564"/>
      <c r="PWF4" s="564"/>
      <c r="PWG4" s="564"/>
      <c r="PWH4" s="564"/>
      <c r="PWI4" s="564"/>
      <c r="PWJ4" s="564"/>
      <c r="PWK4" s="564"/>
      <c r="PWL4" s="564"/>
      <c r="PWM4" s="564"/>
      <c r="PWN4" s="564"/>
      <c r="PWO4" s="564"/>
      <c r="PWP4" s="564"/>
      <c r="PWQ4" s="564"/>
      <c r="PWR4" s="564"/>
      <c r="PWS4" s="564"/>
      <c r="PWT4" s="564"/>
      <c r="PWU4" s="564"/>
      <c r="PWV4" s="564"/>
      <c r="PWW4" s="564"/>
      <c r="PWX4" s="564"/>
      <c r="PWY4" s="564"/>
      <c r="PWZ4" s="564"/>
      <c r="PXA4" s="564"/>
      <c r="PXB4" s="564"/>
      <c r="PXC4" s="564"/>
      <c r="PXD4" s="564"/>
      <c r="PXE4" s="564"/>
      <c r="PXF4" s="564"/>
      <c r="PXG4" s="564"/>
      <c r="PXH4" s="564"/>
      <c r="PXI4" s="564"/>
      <c r="PXJ4" s="564"/>
      <c r="PXK4" s="564"/>
      <c r="PXL4" s="564"/>
      <c r="PXM4" s="564"/>
      <c r="PXN4" s="564"/>
      <c r="PXO4" s="564"/>
      <c r="PXP4" s="564"/>
      <c r="PXQ4" s="564"/>
      <c r="PXR4" s="564"/>
      <c r="PXS4" s="564"/>
      <c r="PXT4" s="564"/>
      <c r="PXU4" s="564"/>
      <c r="PXV4" s="564"/>
      <c r="PXW4" s="564"/>
      <c r="PXX4" s="564"/>
      <c r="PXY4" s="564"/>
      <c r="PXZ4" s="564"/>
      <c r="PYA4" s="564"/>
      <c r="PYB4" s="564"/>
      <c r="PYC4" s="564"/>
      <c r="PYD4" s="564"/>
      <c r="PYE4" s="564"/>
      <c r="PYF4" s="564"/>
      <c r="PYG4" s="564"/>
      <c r="PYH4" s="564"/>
      <c r="PYI4" s="564"/>
      <c r="PYJ4" s="564"/>
      <c r="PYK4" s="564"/>
      <c r="PYL4" s="564"/>
      <c r="PYM4" s="564"/>
      <c r="PYN4" s="564"/>
      <c r="PYO4" s="564"/>
      <c r="PYP4" s="564"/>
      <c r="PYQ4" s="564"/>
      <c r="PYR4" s="564"/>
      <c r="PYS4" s="564"/>
      <c r="PYT4" s="564"/>
      <c r="PYU4" s="564"/>
      <c r="PYV4" s="564"/>
      <c r="PYW4" s="564"/>
      <c r="PYX4" s="564"/>
      <c r="PYY4" s="564"/>
      <c r="PYZ4" s="564"/>
      <c r="PZA4" s="564"/>
      <c r="PZB4" s="564"/>
      <c r="PZC4" s="564"/>
      <c r="PZD4" s="564"/>
      <c r="PZE4" s="564"/>
      <c r="PZF4" s="564"/>
      <c r="PZG4" s="564"/>
      <c r="PZH4" s="564"/>
      <c r="PZI4" s="564"/>
      <c r="PZJ4" s="564"/>
      <c r="PZK4" s="564"/>
      <c r="PZL4" s="564"/>
      <c r="PZM4" s="564"/>
      <c r="PZN4" s="564"/>
      <c r="PZO4" s="564"/>
      <c r="PZP4" s="564"/>
      <c r="PZQ4" s="564"/>
      <c r="PZR4" s="564"/>
      <c r="PZS4" s="564"/>
      <c r="PZT4" s="564"/>
      <c r="PZU4" s="564"/>
      <c r="PZV4" s="564"/>
      <c r="PZW4" s="564"/>
      <c r="PZX4" s="564"/>
      <c r="PZY4" s="564"/>
      <c r="PZZ4" s="564"/>
      <c r="QAA4" s="564"/>
      <c r="QAB4" s="564"/>
      <c r="QAC4" s="564"/>
      <c r="QAD4" s="564"/>
      <c r="QAE4" s="564"/>
      <c r="QAF4" s="564"/>
      <c r="QAG4" s="564"/>
      <c r="QAH4" s="564"/>
      <c r="QAI4" s="564"/>
      <c r="QAJ4" s="564"/>
      <c r="QAK4" s="564"/>
      <c r="QAL4" s="564"/>
      <c r="QAM4" s="564"/>
      <c r="QAN4" s="564"/>
      <c r="QAO4" s="564"/>
      <c r="QAP4" s="564"/>
      <c r="QAQ4" s="564"/>
      <c r="QAR4" s="564"/>
      <c r="QAS4" s="564"/>
      <c r="QAT4" s="564"/>
      <c r="QAU4" s="564"/>
      <c r="QAV4" s="564"/>
      <c r="QAW4" s="564"/>
      <c r="QAX4" s="564"/>
      <c r="QAY4" s="564"/>
      <c r="QAZ4" s="564"/>
      <c r="QBA4" s="564"/>
      <c r="QBB4" s="564"/>
      <c r="QBC4" s="564"/>
      <c r="QBD4" s="564"/>
      <c r="QBE4" s="564"/>
      <c r="QBF4" s="564"/>
      <c r="QBG4" s="564"/>
      <c r="QBH4" s="564"/>
      <c r="QBI4" s="564"/>
      <c r="QBJ4" s="564"/>
      <c r="QBK4" s="564"/>
      <c r="QBL4" s="564"/>
      <c r="QBM4" s="564"/>
      <c r="QBN4" s="564"/>
      <c r="QBO4" s="564"/>
      <c r="QBP4" s="564"/>
      <c r="QBQ4" s="564"/>
      <c r="QBR4" s="564"/>
      <c r="QBS4" s="564"/>
      <c r="QBT4" s="564"/>
      <c r="QBU4" s="564"/>
      <c r="QBV4" s="564"/>
      <c r="QBW4" s="564"/>
      <c r="QBX4" s="564"/>
      <c r="QBY4" s="564"/>
      <c r="QBZ4" s="564"/>
      <c r="QCA4" s="564"/>
      <c r="QCB4" s="564"/>
      <c r="QCC4" s="564"/>
      <c r="QCD4" s="564"/>
      <c r="QCE4" s="564"/>
      <c r="QCF4" s="564"/>
      <c r="QCG4" s="564"/>
      <c r="QCH4" s="564"/>
      <c r="QCI4" s="564"/>
      <c r="QCJ4" s="564"/>
      <c r="QCK4" s="564"/>
      <c r="QCL4" s="564"/>
      <c r="QCM4" s="564"/>
      <c r="QCN4" s="564"/>
      <c r="QCO4" s="564"/>
      <c r="QCP4" s="564"/>
      <c r="QCQ4" s="564"/>
      <c r="QCR4" s="564"/>
      <c r="QCS4" s="564"/>
      <c r="QCT4" s="564"/>
      <c r="QCU4" s="564"/>
      <c r="QCV4" s="564"/>
      <c r="QCW4" s="564"/>
      <c r="QCX4" s="564"/>
      <c r="QCY4" s="564"/>
      <c r="QCZ4" s="564"/>
      <c r="QDA4" s="564"/>
      <c r="QDB4" s="564"/>
      <c r="QDC4" s="564"/>
      <c r="QDD4" s="564"/>
      <c r="QDE4" s="564"/>
      <c r="QDF4" s="564"/>
      <c r="QDG4" s="564"/>
      <c r="QDH4" s="564"/>
      <c r="QDI4" s="564"/>
      <c r="QDJ4" s="564"/>
      <c r="QDK4" s="564"/>
      <c r="QDL4" s="564"/>
      <c r="QDM4" s="564"/>
      <c r="QDN4" s="564"/>
      <c r="QDO4" s="564"/>
      <c r="QDP4" s="564"/>
      <c r="QDQ4" s="564"/>
      <c r="QDR4" s="564"/>
      <c r="QDS4" s="564"/>
      <c r="QDT4" s="564"/>
      <c r="QDU4" s="564"/>
      <c r="QDV4" s="564"/>
      <c r="QDW4" s="564"/>
      <c r="QDX4" s="564"/>
      <c r="QDY4" s="564"/>
      <c r="QDZ4" s="564"/>
      <c r="QEA4" s="564"/>
      <c r="QEB4" s="564"/>
      <c r="QEC4" s="564"/>
      <c r="QED4" s="564"/>
      <c r="QEE4" s="564"/>
      <c r="QEF4" s="564"/>
      <c r="QEG4" s="564"/>
      <c r="QEH4" s="564"/>
      <c r="QEI4" s="564"/>
      <c r="QEJ4" s="564"/>
      <c r="QEK4" s="564"/>
      <c r="QEL4" s="564"/>
      <c r="QEM4" s="564"/>
      <c r="QEN4" s="564"/>
      <c r="QEO4" s="564"/>
      <c r="QEP4" s="564"/>
      <c r="QEQ4" s="564"/>
      <c r="QER4" s="564"/>
      <c r="QES4" s="564"/>
      <c r="QET4" s="564"/>
      <c r="QEU4" s="564"/>
      <c r="QEV4" s="564"/>
      <c r="QEW4" s="564"/>
      <c r="QEX4" s="564"/>
      <c r="QEY4" s="564"/>
      <c r="QEZ4" s="564"/>
      <c r="QFA4" s="564"/>
      <c r="QFB4" s="564"/>
      <c r="QFC4" s="564"/>
      <c r="QFD4" s="564"/>
      <c r="QFE4" s="564"/>
      <c r="QFF4" s="564"/>
      <c r="QFG4" s="564"/>
      <c r="QFH4" s="564"/>
      <c r="QFI4" s="564"/>
      <c r="QFJ4" s="564"/>
      <c r="QFK4" s="564"/>
      <c r="QFL4" s="564"/>
      <c r="QFM4" s="564"/>
      <c r="QFN4" s="564"/>
      <c r="QFO4" s="564"/>
      <c r="QFP4" s="564"/>
      <c r="QFQ4" s="564"/>
      <c r="QFR4" s="564"/>
      <c r="QFS4" s="564"/>
      <c r="QFT4" s="564"/>
      <c r="QFU4" s="564"/>
      <c r="QFV4" s="564"/>
      <c r="QFW4" s="564"/>
      <c r="QFX4" s="564"/>
      <c r="QFY4" s="564"/>
      <c r="QFZ4" s="564"/>
      <c r="QGA4" s="564"/>
      <c r="QGB4" s="564"/>
      <c r="QGC4" s="564"/>
      <c r="QGD4" s="564"/>
      <c r="QGE4" s="564"/>
      <c r="QGF4" s="564"/>
      <c r="QGG4" s="564"/>
      <c r="QGH4" s="564"/>
      <c r="QGI4" s="564"/>
      <c r="QGJ4" s="564"/>
      <c r="QGK4" s="564"/>
      <c r="QGL4" s="564"/>
      <c r="QGM4" s="564"/>
      <c r="QGN4" s="564"/>
      <c r="QGO4" s="564"/>
      <c r="QGP4" s="564"/>
      <c r="QGQ4" s="564"/>
      <c r="QGR4" s="564"/>
      <c r="QGS4" s="564"/>
      <c r="QGT4" s="564"/>
      <c r="QGU4" s="564"/>
      <c r="QGV4" s="564"/>
      <c r="QGW4" s="564"/>
      <c r="QGX4" s="564"/>
      <c r="QGY4" s="564"/>
      <c r="QGZ4" s="564"/>
      <c r="QHA4" s="564"/>
      <c r="QHB4" s="564"/>
      <c r="QHC4" s="564"/>
      <c r="QHD4" s="564"/>
      <c r="QHE4" s="564"/>
      <c r="QHF4" s="564"/>
      <c r="QHG4" s="564"/>
      <c r="QHH4" s="564"/>
      <c r="QHI4" s="564"/>
      <c r="QHJ4" s="564"/>
      <c r="QHK4" s="564"/>
      <c r="QHL4" s="564"/>
      <c r="QHM4" s="564"/>
      <c r="QHN4" s="564"/>
      <c r="QHO4" s="564"/>
      <c r="QHP4" s="564"/>
      <c r="QHQ4" s="564"/>
      <c r="QHR4" s="564"/>
      <c r="QHS4" s="564"/>
      <c r="QHT4" s="564"/>
      <c r="QHU4" s="564"/>
      <c r="QHV4" s="564"/>
      <c r="QHW4" s="564"/>
      <c r="QHX4" s="564"/>
      <c r="QHY4" s="564"/>
      <c r="QHZ4" s="564"/>
      <c r="QIA4" s="564"/>
      <c r="QIB4" s="564"/>
      <c r="QIC4" s="564"/>
      <c r="QID4" s="564"/>
      <c r="QIE4" s="564"/>
      <c r="QIF4" s="564"/>
      <c r="QIG4" s="564"/>
      <c r="QIH4" s="564"/>
      <c r="QII4" s="564"/>
      <c r="QIJ4" s="564"/>
      <c r="QIK4" s="564"/>
      <c r="QIL4" s="564"/>
      <c r="QIM4" s="564"/>
      <c r="QIN4" s="564"/>
      <c r="QIO4" s="564"/>
      <c r="QIP4" s="564"/>
      <c r="QIQ4" s="564"/>
      <c r="QIR4" s="564"/>
      <c r="QIS4" s="564"/>
      <c r="QIT4" s="564"/>
      <c r="QIU4" s="564"/>
      <c r="QIV4" s="564"/>
      <c r="QIW4" s="564"/>
      <c r="QIX4" s="564"/>
      <c r="QIY4" s="564"/>
      <c r="QIZ4" s="564"/>
      <c r="QJA4" s="564"/>
      <c r="QJB4" s="564"/>
      <c r="QJC4" s="564"/>
      <c r="QJD4" s="564"/>
      <c r="QJE4" s="564"/>
      <c r="QJF4" s="564"/>
      <c r="QJG4" s="564"/>
      <c r="QJH4" s="564"/>
      <c r="QJI4" s="564"/>
      <c r="QJJ4" s="564"/>
      <c r="QJK4" s="564"/>
      <c r="QJL4" s="564"/>
      <c r="QJM4" s="564"/>
      <c r="QJN4" s="564"/>
      <c r="QJO4" s="564"/>
      <c r="QJP4" s="564"/>
      <c r="QJQ4" s="564"/>
      <c r="QJR4" s="564"/>
      <c r="QJS4" s="564"/>
      <c r="QJT4" s="564"/>
      <c r="QJU4" s="564"/>
      <c r="QJV4" s="564"/>
      <c r="QJW4" s="564"/>
      <c r="QJX4" s="564"/>
      <c r="QJY4" s="564"/>
      <c r="QJZ4" s="564"/>
      <c r="QKA4" s="564"/>
      <c r="QKB4" s="564"/>
      <c r="QKC4" s="564"/>
      <c r="QKD4" s="564"/>
      <c r="QKE4" s="564"/>
      <c r="QKF4" s="564"/>
      <c r="QKG4" s="564"/>
      <c r="QKH4" s="564"/>
      <c r="QKI4" s="564"/>
      <c r="QKJ4" s="564"/>
      <c r="QKK4" s="564"/>
      <c r="QKL4" s="564"/>
      <c r="QKM4" s="564"/>
      <c r="QKN4" s="564"/>
      <c r="QKO4" s="564"/>
      <c r="QKP4" s="564"/>
      <c r="QKQ4" s="564"/>
      <c r="QKR4" s="564"/>
      <c r="QKS4" s="564"/>
      <c r="QKT4" s="564"/>
      <c r="QKU4" s="564"/>
      <c r="QKV4" s="564"/>
      <c r="QKW4" s="564"/>
      <c r="QKX4" s="564"/>
      <c r="QKY4" s="564"/>
      <c r="QKZ4" s="564"/>
      <c r="QLA4" s="564"/>
      <c r="QLB4" s="564"/>
      <c r="QLC4" s="564"/>
      <c r="QLD4" s="564"/>
      <c r="QLE4" s="564"/>
      <c r="QLF4" s="564"/>
      <c r="QLG4" s="564"/>
      <c r="QLH4" s="564"/>
      <c r="QLI4" s="564"/>
      <c r="QLJ4" s="564"/>
      <c r="QLK4" s="564"/>
      <c r="QLL4" s="564"/>
      <c r="QLM4" s="564"/>
      <c r="QLN4" s="564"/>
      <c r="QLO4" s="564"/>
      <c r="QLP4" s="564"/>
      <c r="QLQ4" s="564"/>
      <c r="QLR4" s="564"/>
      <c r="QLS4" s="564"/>
      <c r="QLT4" s="564"/>
      <c r="QLU4" s="564"/>
      <c r="QLV4" s="564"/>
      <c r="QLW4" s="564"/>
      <c r="QLX4" s="564"/>
      <c r="QLY4" s="564"/>
      <c r="QLZ4" s="564"/>
      <c r="QMA4" s="564"/>
      <c r="QMB4" s="564"/>
      <c r="QMC4" s="564"/>
      <c r="QMD4" s="564"/>
      <c r="QME4" s="564"/>
      <c r="QMF4" s="564"/>
      <c r="QMG4" s="564"/>
      <c r="QMH4" s="564"/>
      <c r="QMI4" s="564"/>
      <c r="QMJ4" s="564"/>
      <c r="QMK4" s="564"/>
      <c r="QML4" s="564"/>
      <c r="QMM4" s="564"/>
      <c r="QMN4" s="564"/>
      <c r="QMO4" s="564"/>
      <c r="QMP4" s="564"/>
      <c r="QMQ4" s="564"/>
      <c r="QMR4" s="564"/>
      <c r="QMS4" s="564"/>
      <c r="QMT4" s="564"/>
      <c r="QMU4" s="564"/>
      <c r="QMV4" s="564"/>
      <c r="QMW4" s="564"/>
      <c r="QMX4" s="564"/>
      <c r="QMY4" s="564"/>
      <c r="QMZ4" s="564"/>
      <c r="QNA4" s="564"/>
      <c r="QNB4" s="564"/>
      <c r="QNC4" s="564"/>
      <c r="QND4" s="564"/>
      <c r="QNE4" s="564"/>
      <c r="QNF4" s="564"/>
      <c r="QNG4" s="564"/>
      <c r="QNH4" s="564"/>
      <c r="QNI4" s="564"/>
      <c r="QNJ4" s="564"/>
      <c r="QNK4" s="564"/>
      <c r="QNL4" s="564"/>
      <c r="QNM4" s="564"/>
      <c r="QNN4" s="564"/>
      <c r="QNO4" s="564"/>
      <c r="QNP4" s="564"/>
      <c r="QNQ4" s="564"/>
      <c r="QNR4" s="564"/>
      <c r="QNS4" s="564"/>
      <c r="QNT4" s="564"/>
      <c r="QNU4" s="564"/>
      <c r="QNV4" s="564"/>
      <c r="QNW4" s="564"/>
      <c r="QNX4" s="564"/>
      <c r="QNY4" s="564"/>
      <c r="QNZ4" s="564"/>
      <c r="QOA4" s="564"/>
      <c r="QOB4" s="564"/>
      <c r="QOC4" s="564"/>
      <c r="QOD4" s="564"/>
      <c r="QOE4" s="564"/>
      <c r="QOF4" s="564"/>
      <c r="QOG4" s="564"/>
      <c r="QOH4" s="564"/>
      <c r="QOI4" s="564"/>
      <c r="QOJ4" s="564"/>
      <c r="QOK4" s="564"/>
      <c r="QOL4" s="564"/>
      <c r="QOM4" s="564"/>
      <c r="QON4" s="564"/>
      <c r="QOO4" s="564"/>
      <c r="QOP4" s="564"/>
      <c r="QOQ4" s="564"/>
      <c r="QOR4" s="564"/>
      <c r="QOS4" s="564"/>
      <c r="QOT4" s="564"/>
      <c r="QOU4" s="564"/>
      <c r="QOV4" s="564"/>
      <c r="QOW4" s="564"/>
      <c r="QOX4" s="564"/>
      <c r="QOY4" s="564"/>
      <c r="QOZ4" s="564"/>
      <c r="QPA4" s="564"/>
      <c r="QPB4" s="564"/>
      <c r="QPC4" s="564"/>
      <c r="QPD4" s="564"/>
      <c r="QPE4" s="564"/>
      <c r="QPF4" s="564"/>
      <c r="QPG4" s="564"/>
      <c r="QPH4" s="564"/>
      <c r="QPI4" s="564"/>
      <c r="QPJ4" s="564"/>
      <c r="QPK4" s="564"/>
      <c r="QPL4" s="564"/>
      <c r="QPM4" s="564"/>
      <c r="QPN4" s="564"/>
      <c r="QPO4" s="564"/>
      <c r="QPP4" s="564"/>
      <c r="QPQ4" s="564"/>
      <c r="QPR4" s="564"/>
      <c r="QPS4" s="564"/>
      <c r="QPT4" s="564"/>
      <c r="QPU4" s="564"/>
      <c r="QPV4" s="564"/>
      <c r="QPW4" s="564"/>
      <c r="QPX4" s="564"/>
      <c r="QPY4" s="564"/>
      <c r="QPZ4" s="564"/>
      <c r="QQA4" s="564"/>
      <c r="QQB4" s="564"/>
      <c r="QQC4" s="564"/>
      <c r="QQD4" s="564"/>
      <c r="QQE4" s="564"/>
      <c r="QQF4" s="564"/>
      <c r="QQG4" s="564"/>
      <c r="QQH4" s="564"/>
      <c r="QQI4" s="564"/>
      <c r="QQJ4" s="564"/>
      <c r="QQK4" s="564"/>
      <c r="QQL4" s="564"/>
      <c r="QQM4" s="564"/>
      <c r="QQN4" s="564"/>
      <c r="QQO4" s="564"/>
      <c r="QQP4" s="564"/>
      <c r="QQQ4" s="564"/>
      <c r="QQR4" s="564"/>
      <c r="QQS4" s="564"/>
      <c r="QQT4" s="564"/>
      <c r="QQU4" s="564"/>
      <c r="QQV4" s="564"/>
      <c r="QQW4" s="564"/>
      <c r="QQX4" s="564"/>
      <c r="QQY4" s="564"/>
      <c r="QQZ4" s="564"/>
      <c r="QRA4" s="564"/>
      <c r="QRB4" s="564"/>
      <c r="QRC4" s="564"/>
      <c r="QRD4" s="564"/>
      <c r="QRE4" s="564"/>
      <c r="QRF4" s="564"/>
      <c r="QRG4" s="564"/>
      <c r="QRH4" s="564"/>
      <c r="QRI4" s="564"/>
      <c r="QRJ4" s="564"/>
      <c r="QRK4" s="564"/>
      <c r="QRL4" s="564"/>
      <c r="QRM4" s="564"/>
      <c r="QRN4" s="564"/>
      <c r="QRO4" s="564"/>
      <c r="QRP4" s="564"/>
      <c r="QRQ4" s="564"/>
      <c r="QRR4" s="564"/>
      <c r="QRS4" s="564"/>
      <c r="QRT4" s="564"/>
      <c r="QRU4" s="564"/>
      <c r="QRV4" s="564"/>
      <c r="QRW4" s="564"/>
      <c r="QRX4" s="564"/>
      <c r="QRY4" s="564"/>
      <c r="QRZ4" s="564"/>
      <c r="QSA4" s="564"/>
      <c r="QSB4" s="564"/>
      <c r="QSC4" s="564"/>
      <c r="QSD4" s="564"/>
      <c r="QSE4" s="564"/>
      <c r="QSF4" s="564"/>
      <c r="QSG4" s="564"/>
      <c r="QSH4" s="564"/>
      <c r="QSI4" s="564"/>
      <c r="QSJ4" s="564"/>
      <c r="QSK4" s="564"/>
      <c r="QSL4" s="564"/>
      <c r="QSM4" s="564"/>
      <c r="QSN4" s="564"/>
      <c r="QSO4" s="564"/>
      <c r="QSP4" s="564"/>
      <c r="QSQ4" s="564"/>
      <c r="QSR4" s="564"/>
      <c r="QSS4" s="564"/>
      <c r="QST4" s="564"/>
      <c r="QSU4" s="564"/>
      <c r="QSV4" s="564"/>
      <c r="QSW4" s="564"/>
      <c r="QSX4" s="564"/>
      <c r="QSY4" s="564"/>
      <c r="QSZ4" s="564"/>
      <c r="QTA4" s="564"/>
      <c r="QTB4" s="564"/>
      <c r="QTC4" s="564"/>
      <c r="QTD4" s="564"/>
      <c r="QTE4" s="564"/>
      <c r="QTF4" s="564"/>
      <c r="QTG4" s="564"/>
      <c r="QTH4" s="564"/>
      <c r="QTI4" s="564"/>
      <c r="QTJ4" s="564"/>
      <c r="QTK4" s="564"/>
      <c r="QTL4" s="564"/>
      <c r="QTM4" s="564"/>
      <c r="QTN4" s="564"/>
      <c r="QTO4" s="564"/>
      <c r="QTP4" s="564"/>
      <c r="QTQ4" s="564"/>
      <c r="QTR4" s="564"/>
      <c r="QTS4" s="564"/>
      <c r="QTT4" s="564"/>
      <c r="QTU4" s="564"/>
      <c r="QTV4" s="564"/>
      <c r="QTW4" s="564"/>
      <c r="QTX4" s="564"/>
      <c r="QTY4" s="564"/>
      <c r="QTZ4" s="564"/>
      <c r="QUA4" s="564"/>
      <c r="QUB4" s="564"/>
      <c r="QUC4" s="564"/>
      <c r="QUD4" s="564"/>
      <c r="QUE4" s="564"/>
      <c r="QUF4" s="564"/>
      <c r="QUG4" s="564"/>
      <c r="QUH4" s="564"/>
      <c r="QUI4" s="564"/>
      <c r="QUJ4" s="564"/>
      <c r="QUK4" s="564"/>
      <c r="QUL4" s="564"/>
      <c r="QUM4" s="564"/>
      <c r="QUN4" s="564"/>
      <c r="QUO4" s="564"/>
      <c r="QUP4" s="564"/>
      <c r="QUQ4" s="564"/>
      <c r="QUR4" s="564"/>
      <c r="QUS4" s="564"/>
      <c r="QUT4" s="564"/>
      <c r="QUU4" s="564"/>
      <c r="QUV4" s="564"/>
      <c r="QUW4" s="564"/>
      <c r="QUX4" s="564"/>
      <c r="QUY4" s="564"/>
      <c r="QUZ4" s="564"/>
      <c r="QVA4" s="564"/>
      <c r="QVB4" s="564"/>
      <c r="QVC4" s="564"/>
      <c r="QVD4" s="564"/>
      <c r="QVE4" s="564"/>
      <c r="QVF4" s="564"/>
      <c r="QVG4" s="564"/>
      <c r="QVH4" s="564"/>
      <c r="QVI4" s="564"/>
      <c r="QVJ4" s="564"/>
      <c r="QVK4" s="564"/>
      <c r="QVL4" s="564"/>
      <c r="QVM4" s="564"/>
      <c r="QVN4" s="564"/>
      <c r="QVO4" s="564"/>
      <c r="QVP4" s="564"/>
      <c r="QVQ4" s="564"/>
      <c r="QVR4" s="564"/>
      <c r="QVS4" s="564"/>
      <c r="QVT4" s="564"/>
      <c r="QVU4" s="564"/>
      <c r="QVV4" s="564"/>
      <c r="QVW4" s="564"/>
      <c r="QVX4" s="564"/>
      <c r="QVY4" s="564"/>
      <c r="QVZ4" s="564"/>
      <c r="QWA4" s="564"/>
      <c r="QWB4" s="564"/>
      <c r="QWC4" s="564"/>
      <c r="QWD4" s="564"/>
      <c r="QWE4" s="564"/>
      <c r="QWF4" s="564"/>
      <c r="QWG4" s="564"/>
      <c r="QWH4" s="564"/>
      <c r="QWI4" s="564"/>
      <c r="QWJ4" s="564"/>
      <c r="QWK4" s="564"/>
      <c r="QWL4" s="564"/>
      <c r="QWM4" s="564"/>
      <c r="QWN4" s="564"/>
      <c r="QWO4" s="564"/>
      <c r="QWP4" s="564"/>
      <c r="QWQ4" s="564"/>
      <c r="QWR4" s="564"/>
      <c r="QWS4" s="564"/>
      <c r="QWT4" s="564"/>
      <c r="QWU4" s="564"/>
      <c r="QWV4" s="564"/>
      <c r="QWW4" s="564"/>
      <c r="QWX4" s="564"/>
      <c r="QWY4" s="564"/>
      <c r="QWZ4" s="564"/>
      <c r="QXA4" s="564"/>
      <c r="QXB4" s="564"/>
      <c r="QXC4" s="564"/>
      <c r="QXD4" s="564"/>
      <c r="QXE4" s="564"/>
      <c r="QXF4" s="564"/>
      <c r="QXG4" s="564"/>
      <c r="QXH4" s="564"/>
      <c r="QXI4" s="564"/>
      <c r="QXJ4" s="564"/>
      <c r="QXK4" s="564"/>
      <c r="QXL4" s="564"/>
      <c r="QXM4" s="564"/>
      <c r="QXN4" s="564"/>
      <c r="QXO4" s="564"/>
      <c r="QXP4" s="564"/>
      <c r="QXQ4" s="564"/>
      <c r="QXR4" s="564"/>
      <c r="QXS4" s="564"/>
      <c r="QXT4" s="564"/>
      <c r="QXU4" s="564"/>
      <c r="QXV4" s="564"/>
      <c r="QXW4" s="564"/>
      <c r="QXX4" s="564"/>
      <c r="QXY4" s="564"/>
      <c r="QXZ4" s="564"/>
      <c r="QYA4" s="564"/>
      <c r="QYB4" s="564"/>
      <c r="QYC4" s="564"/>
      <c r="QYD4" s="564"/>
      <c r="QYE4" s="564"/>
      <c r="QYF4" s="564"/>
      <c r="QYG4" s="564"/>
      <c r="QYH4" s="564"/>
      <c r="QYI4" s="564"/>
      <c r="QYJ4" s="564"/>
      <c r="QYK4" s="564"/>
      <c r="QYL4" s="564"/>
      <c r="QYM4" s="564"/>
      <c r="QYN4" s="564"/>
      <c r="QYO4" s="564"/>
      <c r="QYP4" s="564"/>
      <c r="QYQ4" s="564"/>
      <c r="QYR4" s="564"/>
      <c r="QYS4" s="564"/>
      <c r="QYT4" s="564"/>
      <c r="QYU4" s="564"/>
      <c r="QYV4" s="564"/>
      <c r="QYW4" s="564"/>
      <c r="QYX4" s="564"/>
      <c r="QYY4" s="564"/>
      <c r="QYZ4" s="564"/>
      <c r="QZA4" s="564"/>
      <c r="QZB4" s="564"/>
      <c r="QZC4" s="564"/>
      <c r="QZD4" s="564"/>
      <c r="QZE4" s="564"/>
      <c r="QZF4" s="564"/>
      <c r="QZG4" s="564"/>
      <c r="QZH4" s="564"/>
      <c r="QZI4" s="564"/>
      <c r="QZJ4" s="564"/>
      <c r="QZK4" s="564"/>
      <c r="QZL4" s="564"/>
      <c r="QZM4" s="564"/>
      <c r="QZN4" s="564"/>
      <c r="QZO4" s="564"/>
      <c r="QZP4" s="564"/>
      <c r="QZQ4" s="564"/>
      <c r="QZR4" s="564"/>
      <c r="QZS4" s="564"/>
      <c r="QZT4" s="564"/>
      <c r="QZU4" s="564"/>
      <c r="QZV4" s="564"/>
      <c r="QZW4" s="564"/>
      <c r="QZX4" s="564"/>
      <c r="QZY4" s="564"/>
      <c r="QZZ4" s="564"/>
      <c r="RAA4" s="564"/>
      <c r="RAB4" s="564"/>
      <c r="RAC4" s="564"/>
      <c r="RAD4" s="564"/>
      <c r="RAE4" s="564"/>
      <c r="RAF4" s="564"/>
      <c r="RAG4" s="564"/>
      <c r="RAH4" s="564"/>
      <c r="RAI4" s="564"/>
      <c r="RAJ4" s="564"/>
      <c r="RAK4" s="564"/>
      <c r="RAL4" s="564"/>
      <c r="RAM4" s="564"/>
      <c r="RAN4" s="564"/>
      <c r="RAO4" s="564"/>
      <c r="RAP4" s="564"/>
      <c r="RAQ4" s="564"/>
      <c r="RAR4" s="564"/>
      <c r="RAS4" s="564"/>
      <c r="RAT4" s="564"/>
      <c r="RAU4" s="564"/>
      <c r="RAV4" s="564"/>
      <c r="RAW4" s="564"/>
      <c r="RAX4" s="564"/>
      <c r="RAY4" s="564"/>
      <c r="RAZ4" s="564"/>
      <c r="RBA4" s="564"/>
      <c r="RBB4" s="564"/>
      <c r="RBC4" s="564"/>
      <c r="RBD4" s="564"/>
      <c r="RBE4" s="564"/>
      <c r="RBF4" s="564"/>
      <c r="RBG4" s="564"/>
      <c r="RBH4" s="564"/>
      <c r="RBI4" s="564"/>
      <c r="RBJ4" s="564"/>
      <c r="RBK4" s="564"/>
      <c r="RBL4" s="564"/>
      <c r="RBM4" s="564"/>
      <c r="RBN4" s="564"/>
      <c r="RBO4" s="564"/>
      <c r="RBP4" s="564"/>
      <c r="RBQ4" s="564"/>
      <c r="RBR4" s="564"/>
      <c r="RBS4" s="564"/>
      <c r="RBT4" s="564"/>
      <c r="RBU4" s="564"/>
      <c r="RBV4" s="564"/>
      <c r="RBW4" s="564"/>
      <c r="RBX4" s="564"/>
      <c r="RBY4" s="564"/>
      <c r="RBZ4" s="564"/>
      <c r="RCA4" s="564"/>
      <c r="RCB4" s="564"/>
      <c r="RCC4" s="564"/>
      <c r="RCD4" s="564"/>
      <c r="RCE4" s="564"/>
      <c r="RCF4" s="564"/>
      <c r="RCG4" s="564"/>
      <c r="RCH4" s="564"/>
      <c r="RCI4" s="564"/>
      <c r="RCJ4" s="564"/>
      <c r="RCK4" s="564"/>
      <c r="RCL4" s="564"/>
      <c r="RCM4" s="564"/>
      <c r="RCN4" s="564"/>
      <c r="RCO4" s="564"/>
      <c r="RCP4" s="564"/>
      <c r="RCQ4" s="564"/>
      <c r="RCR4" s="564"/>
      <c r="RCS4" s="564"/>
      <c r="RCT4" s="564"/>
      <c r="RCU4" s="564"/>
      <c r="RCV4" s="564"/>
      <c r="RCW4" s="564"/>
      <c r="RCX4" s="564"/>
      <c r="RCY4" s="564"/>
      <c r="RCZ4" s="564"/>
      <c r="RDA4" s="564"/>
      <c r="RDB4" s="564"/>
      <c r="RDC4" s="564"/>
      <c r="RDD4" s="564"/>
      <c r="RDE4" s="564"/>
      <c r="RDF4" s="564"/>
      <c r="RDG4" s="564"/>
      <c r="RDH4" s="564"/>
      <c r="RDI4" s="564"/>
      <c r="RDJ4" s="564"/>
      <c r="RDK4" s="564"/>
      <c r="RDL4" s="564"/>
      <c r="RDM4" s="564"/>
      <c r="RDN4" s="564"/>
      <c r="RDO4" s="564"/>
      <c r="RDP4" s="564"/>
      <c r="RDQ4" s="564"/>
      <c r="RDR4" s="564"/>
      <c r="RDS4" s="564"/>
      <c r="RDT4" s="564"/>
      <c r="RDU4" s="564"/>
      <c r="RDV4" s="564"/>
      <c r="RDW4" s="564"/>
      <c r="RDX4" s="564"/>
      <c r="RDY4" s="564"/>
      <c r="RDZ4" s="564"/>
      <c r="REA4" s="564"/>
      <c r="REB4" s="564"/>
      <c r="REC4" s="564"/>
      <c r="RED4" s="564"/>
      <c r="REE4" s="564"/>
      <c r="REF4" s="564"/>
      <c r="REG4" s="564"/>
      <c r="REH4" s="564"/>
      <c r="REI4" s="564"/>
      <c r="REJ4" s="564"/>
      <c r="REK4" s="564"/>
      <c r="REL4" s="564"/>
      <c r="REM4" s="564"/>
      <c r="REN4" s="564"/>
      <c r="REO4" s="564"/>
      <c r="REP4" s="564"/>
      <c r="REQ4" s="564"/>
      <c r="RER4" s="564"/>
      <c r="RES4" s="564"/>
      <c r="RET4" s="564"/>
      <c r="REU4" s="564"/>
      <c r="REV4" s="564"/>
      <c r="REW4" s="564"/>
      <c r="REX4" s="564"/>
      <c r="REY4" s="564"/>
      <c r="REZ4" s="564"/>
      <c r="RFA4" s="564"/>
      <c r="RFB4" s="564"/>
      <c r="RFC4" s="564"/>
      <c r="RFD4" s="564"/>
      <c r="RFE4" s="564"/>
      <c r="RFF4" s="564"/>
      <c r="RFG4" s="564"/>
      <c r="RFH4" s="564"/>
      <c r="RFI4" s="564"/>
      <c r="RFJ4" s="564"/>
      <c r="RFK4" s="564"/>
      <c r="RFL4" s="564"/>
      <c r="RFM4" s="564"/>
      <c r="RFN4" s="564"/>
      <c r="RFO4" s="564"/>
      <c r="RFP4" s="564"/>
      <c r="RFQ4" s="564"/>
      <c r="RFR4" s="564"/>
      <c r="RFS4" s="564"/>
      <c r="RFT4" s="564"/>
      <c r="RFU4" s="564"/>
      <c r="RFV4" s="564"/>
      <c r="RFW4" s="564"/>
      <c r="RFX4" s="564"/>
      <c r="RFY4" s="564"/>
      <c r="RFZ4" s="564"/>
      <c r="RGA4" s="564"/>
      <c r="RGB4" s="564"/>
      <c r="RGC4" s="564"/>
      <c r="RGD4" s="564"/>
      <c r="RGE4" s="564"/>
      <c r="RGF4" s="564"/>
      <c r="RGG4" s="564"/>
      <c r="RGH4" s="564"/>
      <c r="RGI4" s="564"/>
      <c r="RGJ4" s="564"/>
      <c r="RGK4" s="564"/>
      <c r="RGL4" s="564"/>
      <c r="RGM4" s="564"/>
      <c r="RGN4" s="564"/>
      <c r="RGO4" s="564"/>
      <c r="RGP4" s="564"/>
      <c r="RGQ4" s="564"/>
      <c r="RGR4" s="564"/>
      <c r="RGS4" s="564"/>
      <c r="RGT4" s="564"/>
      <c r="RGU4" s="564"/>
      <c r="RGV4" s="564"/>
      <c r="RGW4" s="564"/>
      <c r="RGX4" s="564"/>
      <c r="RGY4" s="564"/>
      <c r="RGZ4" s="564"/>
      <c r="RHA4" s="564"/>
      <c r="RHB4" s="564"/>
      <c r="RHC4" s="564"/>
      <c r="RHD4" s="564"/>
      <c r="RHE4" s="564"/>
      <c r="RHF4" s="564"/>
      <c r="RHG4" s="564"/>
      <c r="RHH4" s="564"/>
      <c r="RHI4" s="564"/>
      <c r="RHJ4" s="564"/>
      <c r="RHK4" s="564"/>
      <c r="RHL4" s="564"/>
      <c r="RHM4" s="564"/>
      <c r="RHN4" s="564"/>
      <c r="RHO4" s="564"/>
      <c r="RHP4" s="564"/>
      <c r="RHQ4" s="564"/>
      <c r="RHR4" s="564"/>
      <c r="RHS4" s="564"/>
      <c r="RHT4" s="564"/>
      <c r="RHU4" s="564"/>
      <c r="RHV4" s="564"/>
      <c r="RHW4" s="564"/>
      <c r="RHX4" s="564"/>
      <c r="RHY4" s="564"/>
      <c r="RHZ4" s="564"/>
      <c r="RIA4" s="564"/>
      <c r="RIB4" s="564"/>
      <c r="RIC4" s="564"/>
      <c r="RID4" s="564"/>
      <c r="RIE4" s="564"/>
      <c r="RIF4" s="564"/>
      <c r="RIG4" s="564"/>
      <c r="RIH4" s="564"/>
      <c r="RII4" s="564"/>
      <c r="RIJ4" s="564"/>
      <c r="RIK4" s="564"/>
      <c r="RIL4" s="564"/>
      <c r="RIM4" s="564"/>
      <c r="RIN4" s="564"/>
      <c r="RIO4" s="564"/>
      <c r="RIP4" s="564"/>
      <c r="RIQ4" s="564"/>
      <c r="RIR4" s="564"/>
      <c r="RIS4" s="564"/>
      <c r="RIT4" s="564"/>
      <c r="RIU4" s="564"/>
      <c r="RIV4" s="564"/>
      <c r="RIW4" s="564"/>
      <c r="RIX4" s="564"/>
      <c r="RIY4" s="564"/>
      <c r="RIZ4" s="564"/>
      <c r="RJA4" s="564"/>
      <c r="RJB4" s="564"/>
      <c r="RJC4" s="564"/>
      <c r="RJD4" s="564"/>
      <c r="RJE4" s="564"/>
      <c r="RJF4" s="564"/>
      <c r="RJG4" s="564"/>
      <c r="RJH4" s="564"/>
      <c r="RJI4" s="564"/>
      <c r="RJJ4" s="564"/>
      <c r="RJK4" s="564"/>
      <c r="RJL4" s="564"/>
      <c r="RJM4" s="564"/>
      <c r="RJN4" s="564"/>
      <c r="RJO4" s="564"/>
      <c r="RJP4" s="564"/>
      <c r="RJQ4" s="564"/>
      <c r="RJR4" s="564"/>
      <c r="RJS4" s="564"/>
      <c r="RJT4" s="564"/>
      <c r="RJU4" s="564"/>
      <c r="RJV4" s="564"/>
      <c r="RJW4" s="564"/>
      <c r="RJX4" s="564"/>
      <c r="RJY4" s="564"/>
      <c r="RJZ4" s="564"/>
      <c r="RKA4" s="564"/>
      <c r="RKB4" s="564"/>
      <c r="RKC4" s="564"/>
      <c r="RKD4" s="564"/>
      <c r="RKE4" s="564"/>
      <c r="RKF4" s="564"/>
      <c r="RKG4" s="564"/>
      <c r="RKH4" s="564"/>
      <c r="RKI4" s="564"/>
      <c r="RKJ4" s="564"/>
      <c r="RKK4" s="564"/>
      <c r="RKL4" s="564"/>
      <c r="RKM4" s="564"/>
      <c r="RKN4" s="564"/>
      <c r="RKO4" s="564"/>
      <c r="RKP4" s="564"/>
      <c r="RKQ4" s="564"/>
      <c r="RKR4" s="564"/>
      <c r="RKS4" s="564"/>
      <c r="RKT4" s="564"/>
      <c r="RKU4" s="564"/>
      <c r="RKV4" s="564"/>
      <c r="RKW4" s="564"/>
      <c r="RKX4" s="564"/>
      <c r="RKY4" s="564"/>
      <c r="RKZ4" s="564"/>
      <c r="RLA4" s="564"/>
      <c r="RLB4" s="564"/>
      <c r="RLC4" s="564"/>
      <c r="RLD4" s="564"/>
      <c r="RLE4" s="564"/>
      <c r="RLF4" s="564"/>
      <c r="RLG4" s="564"/>
      <c r="RLH4" s="564"/>
      <c r="RLI4" s="564"/>
      <c r="RLJ4" s="564"/>
      <c r="RLK4" s="564"/>
      <c r="RLL4" s="564"/>
      <c r="RLM4" s="564"/>
      <c r="RLN4" s="564"/>
      <c r="RLO4" s="564"/>
      <c r="RLP4" s="564"/>
      <c r="RLQ4" s="564"/>
      <c r="RLR4" s="564"/>
      <c r="RLS4" s="564"/>
      <c r="RLT4" s="564"/>
      <c r="RLU4" s="564"/>
      <c r="RLV4" s="564"/>
      <c r="RLW4" s="564"/>
      <c r="RLX4" s="564"/>
      <c r="RLY4" s="564"/>
      <c r="RLZ4" s="564"/>
      <c r="RMA4" s="564"/>
      <c r="RMB4" s="564"/>
      <c r="RMC4" s="564"/>
      <c r="RMD4" s="564"/>
      <c r="RME4" s="564"/>
      <c r="RMF4" s="564"/>
      <c r="RMG4" s="564"/>
      <c r="RMH4" s="564"/>
      <c r="RMI4" s="564"/>
      <c r="RMJ4" s="564"/>
      <c r="RMK4" s="564"/>
      <c r="RML4" s="564"/>
      <c r="RMM4" s="564"/>
      <c r="RMN4" s="564"/>
      <c r="RMO4" s="564"/>
      <c r="RMP4" s="564"/>
      <c r="RMQ4" s="564"/>
      <c r="RMR4" s="564"/>
      <c r="RMS4" s="564"/>
      <c r="RMT4" s="564"/>
      <c r="RMU4" s="564"/>
      <c r="RMV4" s="564"/>
      <c r="RMW4" s="564"/>
      <c r="RMX4" s="564"/>
      <c r="RMY4" s="564"/>
      <c r="RMZ4" s="564"/>
      <c r="RNA4" s="564"/>
      <c r="RNB4" s="564"/>
      <c r="RNC4" s="564"/>
      <c r="RND4" s="564"/>
      <c r="RNE4" s="564"/>
      <c r="RNF4" s="564"/>
      <c r="RNG4" s="564"/>
      <c r="RNH4" s="564"/>
      <c r="RNI4" s="564"/>
      <c r="RNJ4" s="564"/>
      <c r="RNK4" s="564"/>
      <c r="RNL4" s="564"/>
      <c r="RNM4" s="564"/>
      <c r="RNN4" s="564"/>
      <c r="RNO4" s="564"/>
      <c r="RNP4" s="564"/>
      <c r="RNQ4" s="564"/>
      <c r="RNR4" s="564"/>
      <c r="RNS4" s="564"/>
      <c r="RNT4" s="564"/>
      <c r="RNU4" s="564"/>
      <c r="RNV4" s="564"/>
      <c r="RNW4" s="564"/>
      <c r="RNX4" s="564"/>
      <c r="RNY4" s="564"/>
      <c r="RNZ4" s="564"/>
      <c r="ROA4" s="564"/>
      <c r="ROB4" s="564"/>
      <c r="ROC4" s="564"/>
      <c r="ROD4" s="564"/>
      <c r="ROE4" s="564"/>
      <c r="ROF4" s="564"/>
      <c r="ROG4" s="564"/>
      <c r="ROH4" s="564"/>
      <c r="ROI4" s="564"/>
      <c r="ROJ4" s="564"/>
      <c r="ROK4" s="564"/>
      <c r="ROL4" s="564"/>
      <c r="ROM4" s="564"/>
      <c r="RON4" s="564"/>
      <c r="ROO4" s="564"/>
      <c r="ROP4" s="564"/>
      <c r="ROQ4" s="564"/>
      <c r="ROR4" s="564"/>
      <c r="ROS4" s="564"/>
      <c r="ROT4" s="564"/>
      <c r="ROU4" s="564"/>
      <c r="ROV4" s="564"/>
      <c r="ROW4" s="564"/>
      <c r="ROX4" s="564"/>
      <c r="ROY4" s="564"/>
      <c r="ROZ4" s="564"/>
      <c r="RPA4" s="564"/>
      <c r="RPB4" s="564"/>
      <c r="RPC4" s="564"/>
      <c r="RPD4" s="564"/>
      <c r="RPE4" s="564"/>
      <c r="RPF4" s="564"/>
      <c r="RPG4" s="564"/>
      <c r="RPH4" s="564"/>
      <c r="RPI4" s="564"/>
      <c r="RPJ4" s="564"/>
      <c r="RPK4" s="564"/>
      <c r="RPL4" s="564"/>
      <c r="RPM4" s="564"/>
      <c r="RPN4" s="564"/>
      <c r="RPO4" s="564"/>
      <c r="RPP4" s="564"/>
      <c r="RPQ4" s="564"/>
      <c r="RPR4" s="564"/>
      <c r="RPS4" s="564"/>
      <c r="RPT4" s="564"/>
      <c r="RPU4" s="564"/>
      <c r="RPV4" s="564"/>
      <c r="RPW4" s="564"/>
      <c r="RPX4" s="564"/>
      <c r="RPY4" s="564"/>
      <c r="RPZ4" s="564"/>
      <c r="RQA4" s="564"/>
      <c r="RQB4" s="564"/>
      <c r="RQC4" s="564"/>
      <c r="RQD4" s="564"/>
      <c r="RQE4" s="564"/>
      <c r="RQF4" s="564"/>
      <c r="RQG4" s="564"/>
      <c r="RQH4" s="564"/>
      <c r="RQI4" s="564"/>
      <c r="RQJ4" s="564"/>
      <c r="RQK4" s="564"/>
      <c r="RQL4" s="564"/>
      <c r="RQM4" s="564"/>
      <c r="RQN4" s="564"/>
      <c r="RQO4" s="564"/>
      <c r="RQP4" s="564"/>
      <c r="RQQ4" s="564"/>
      <c r="RQR4" s="564"/>
      <c r="RQS4" s="564"/>
      <c r="RQT4" s="564"/>
      <c r="RQU4" s="564"/>
      <c r="RQV4" s="564"/>
      <c r="RQW4" s="564"/>
      <c r="RQX4" s="564"/>
      <c r="RQY4" s="564"/>
      <c r="RQZ4" s="564"/>
      <c r="RRA4" s="564"/>
      <c r="RRB4" s="564"/>
      <c r="RRC4" s="564"/>
      <c r="RRD4" s="564"/>
      <c r="RRE4" s="564"/>
      <c r="RRF4" s="564"/>
      <c r="RRG4" s="564"/>
      <c r="RRH4" s="564"/>
      <c r="RRI4" s="564"/>
      <c r="RRJ4" s="564"/>
      <c r="RRK4" s="564"/>
      <c r="RRL4" s="564"/>
      <c r="RRM4" s="564"/>
      <c r="RRN4" s="564"/>
      <c r="RRO4" s="564"/>
      <c r="RRP4" s="564"/>
      <c r="RRQ4" s="564"/>
      <c r="RRR4" s="564"/>
      <c r="RRS4" s="564"/>
      <c r="RRT4" s="564"/>
      <c r="RRU4" s="564"/>
      <c r="RRV4" s="564"/>
      <c r="RRW4" s="564"/>
      <c r="RRX4" s="564"/>
      <c r="RRY4" s="564"/>
      <c r="RRZ4" s="564"/>
      <c r="RSA4" s="564"/>
      <c r="RSB4" s="564"/>
      <c r="RSC4" s="564"/>
      <c r="RSD4" s="564"/>
      <c r="RSE4" s="564"/>
      <c r="RSF4" s="564"/>
      <c r="RSG4" s="564"/>
      <c r="RSH4" s="564"/>
      <c r="RSI4" s="564"/>
      <c r="RSJ4" s="564"/>
      <c r="RSK4" s="564"/>
      <c r="RSL4" s="564"/>
      <c r="RSM4" s="564"/>
      <c r="RSN4" s="564"/>
      <c r="RSO4" s="564"/>
      <c r="RSP4" s="564"/>
      <c r="RSQ4" s="564"/>
      <c r="RSR4" s="564"/>
      <c r="RSS4" s="564"/>
      <c r="RST4" s="564"/>
      <c r="RSU4" s="564"/>
      <c r="RSV4" s="564"/>
      <c r="RSW4" s="564"/>
      <c r="RSX4" s="564"/>
      <c r="RSY4" s="564"/>
      <c r="RSZ4" s="564"/>
      <c r="RTA4" s="564"/>
      <c r="RTB4" s="564"/>
      <c r="RTC4" s="564"/>
      <c r="RTD4" s="564"/>
      <c r="RTE4" s="564"/>
      <c r="RTF4" s="564"/>
      <c r="RTG4" s="564"/>
      <c r="RTH4" s="564"/>
      <c r="RTI4" s="564"/>
      <c r="RTJ4" s="564"/>
      <c r="RTK4" s="564"/>
      <c r="RTL4" s="564"/>
      <c r="RTM4" s="564"/>
      <c r="RTN4" s="564"/>
      <c r="RTO4" s="564"/>
      <c r="RTP4" s="564"/>
      <c r="RTQ4" s="564"/>
      <c r="RTR4" s="564"/>
      <c r="RTS4" s="564"/>
      <c r="RTT4" s="564"/>
      <c r="RTU4" s="564"/>
      <c r="RTV4" s="564"/>
      <c r="RTW4" s="564"/>
      <c r="RTX4" s="564"/>
      <c r="RTY4" s="564"/>
      <c r="RTZ4" s="564"/>
      <c r="RUA4" s="564"/>
      <c r="RUB4" s="564"/>
      <c r="RUC4" s="564"/>
      <c r="RUD4" s="564"/>
      <c r="RUE4" s="564"/>
      <c r="RUF4" s="564"/>
      <c r="RUG4" s="564"/>
      <c r="RUH4" s="564"/>
      <c r="RUI4" s="564"/>
      <c r="RUJ4" s="564"/>
      <c r="RUK4" s="564"/>
      <c r="RUL4" s="564"/>
      <c r="RUM4" s="564"/>
      <c r="RUN4" s="564"/>
      <c r="RUO4" s="564"/>
      <c r="RUP4" s="564"/>
      <c r="RUQ4" s="564"/>
      <c r="RUR4" s="564"/>
      <c r="RUS4" s="564"/>
      <c r="RUT4" s="564"/>
      <c r="RUU4" s="564"/>
      <c r="RUV4" s="564"/>
      <c r="RUW4" s="564"/>
      <c r="RUX4" s="564"/>
      <c r="RUY4" s="564"/>
      <c r="RUZ4" s="564"/>
      <c r="RVA4" s="564"/>
      <c r="RVB4" s="564"/>
      <c r="RVC4" s="564"/>
      <c r="RVD4" s="564"/>
      <c r="RVE4" s="564"/>
      <c r="RVF4" s="564"/>
      <c r="RVG4" s="564"/>
      <c r="RVH4" s="564"/>
      <c r="RVI4" s="564"/>
      <c r="RVJ4" s="564"/>
      <c r="RVK4" s="564"/>
      <c r="RVL4" s="564"/>
      <c r="RVM4" s="564"/>
      <c r="RVN4" s="564"/>
      <c r="RVO4" s="564"/>
      <c r="RVP4" s="564"/>
      <c r="RVQ4" s="564"/>
      <c r="RVR4" s="564"/>
      <c r="RVS4" s="564"/>
      <c r="RVT4" s="564"/>
      <c r="RVU4" s="564"/>
      <c r="RVV4" s="564"/>
      <c r="RVW4" s="564"/>
      <c r="RVX4" s="564"/>
      <c r="RVY4" s="564"/>
      <c r="RVZ4" s="564"/>
      <c r="RWA4" s="564"/>
      <c r="RWB4" s="564"/>
      <c r="RWC4" s="564"/>
      <c r="RWD4" s="564"/>
      <c r="RWE4" s="564"/>
      <c r="RWF4" s="564"/>
      <c r="RWG4" s="564"/>
      <c r="RWH4" s="564"/>
      <c r="RWI4" s="564"/>
      <c r="RWJ4" s="564"/>
      <c r="RWK4" s="564"/>
      <c r="RWL4" s="564"/>
      <c r="RWM4" s="564"/>
      <c r="RWN4" s="564"/>
      <c r="RWO4" s="564"/>
      <c r="RWP4" s="564"/>
      <c r="RWQ4" s="564"/>
      <c r="RWR4" s="564"/>
      <c r="RWS4" s="564"/>
      <c r="RWT4" s="564"/>
      <c r="RWU4" s="564"/>
      <c r="RWV4" s="564"/>
      <c r="RWW4" s="564"/>
      <c r="RWX4" s="564"/>
      <c r="RWY4" s="564"/>
      <c r="RWZ4" s="564"/>
      <c r="RXA4" s="564"/>
      <c r="RXB4" s="564"/>
      <c r="RXC4" s="564"/>
      <c r="RXD4" s="564"/>
      <c r="RXE4" s="564"/>
      <c r="RXF4" s="564"/>
      <c r="RXG4" s="564"/>
      <c r="RXH4" s="564"/>
      <c r="RXI4" s="564"/>
      <c r="RXJ4" s="564"/>
      <c r="RXK4" s="564"/>
      <c r="RXL4" s="564"/>
      <c r="RXM4" s="564"/>
      <c r="RXN4" s="564"/>
      <c r="RXO4" s="564"/>
      <c r="RXP4" s="564"/>
      <c r="RXQ4" s="564"/>
      <c r="RXR4" s="564"/>
      <c r="RXS4" s="564"/>
      <c r="RXT4" s="564"/>
      <c r="RXU4" s="564"/>
      <c r="RXV4" s="564"/>
      <c r="RXW4" s="564"/>
      <c r="RXX4" s="564"/>
      <c r="RXY4" s="564"/>
      <c r="RXZ4" s="564"/>
      <c r="RYA4" s="564"/>
      <c r="RYB4" s="564"/>
      <c r="RYC4" s="564"/>
      <c r="RYD4" s="564"/>
      <c r="RYE4" s="564"/>
      <c r="RYF4" s="564"/>
      <c r="RYG4" s="564"/>
      <c r="RYH4" s="564"/>
      <c r="RYI4" s="564"/>
      <c r="RYJ4" s="564"/>
      <c r="RYK4" s="564"/>
      <c r="RYL4" s="564"/>
      <c r="RYM4" s="564"/>
      <c r="RYN4" s="564"/>
      <c r="RYO4" s="564"/>
      <c r="RYP4" s="564"/>
      <c r="RYQ4" s="564"/>
      <c r="RYR4" s="564"/>
      <c r="RYS4" s="564"/>
      <c r="RYT4" s="564"/>
      <c r="RYU4" s="564"/>
      <c r="RYV4" s="564"/>
      <c r="RYW4" s="564"/>
      <c r="RYX4" s="564"/>
      <c r="RYY4" s="564"/>
      <c r="RYZ4" s="564"/>
      <c r="RZA4" s="564"/>
      <c r="RZB4" s="564"/>
      <c r="RZC4" s="564"/>
      <c r="RZD4" s="564"/>
      <c r="RZE4" s="564"/>
      <c r="RZF4" s="564"/>
      <c r="RZG4" s="564"/>
      <c r="RZH4" s="564"/>
      <c r="RZI4" s="564"/>
      <c r="RZJ4" s="564"/>
      <c r="RZK4" s="564"/>
      <c r="RZL4" s="564"/>
      <c r="RZM4" s="564"/>
      <c r="RZN4" s="564"/>
      <c r="RZO4" s="564"/>
      <c r="RZP4" s="564"/>
      <c r="RZQ4" s="564"/>
      <c r="RZR4" s="564"/>
      <c r="RZS4" s="564"/>
      <c r="RZT4" s="564"/>
      <c r="RZU4" s="564"/>
      <c r="RZV4" s="564"/>
      <c r="RZW4" s="564"/>
      <c r="RZX4" s="564"/>
      <c r="RZY4" s="564"/>
      <c r="RZZ4" s="564"/>
      <c r="SAA4" s="564"/>
      <c r="SAB4" s="564"/>
      <c r="SAC4" s="564"/>
      <c r="SAD4" s="564"/>
      <c r="SAE4" s="564"/>
      <c r="SAF4" s="564"/>
      <c r="SAG4" s="564"/>
      <c r="SAH4" s="564"/>
      <c r="SAI4" s="564"/>
      <c r="SAJ4" s="564"/>
      <c r="SAK4" s="564"/>
      <c r="SAL4" s="564"/>
      <c r="SAM4" s="564"/>
      <c r="SAN4" s="564"/>
      <c r="SAO4" s="564"/>
      <c r="SAP4" s="564"/>
      <c r="SAQ4" s="564"/>
      <c r="SAR4" s="564"/>
      <c r="SAS4" s="564"/>
      <c r="SAT4" s="564"/>
      <c r="SAU4" s="564"/>
      <c r="SAV4" s="564"/>
      <c r="SAW4" s="564"/>
      <c r="SAX4" s="564"/>
      <c r="SAY4" s="564"/>
      <c r="SAZ4" s="564"/>
      <c r="SBA4" s="564"/>
      <c r="SBB4" s="564"/>
      <c r="SBC4" s="564"/>
      <c r="SBD4" s="564"/>
      <c r="SBE4" s="564"/>
      <c r="SBF4" s="564"/>
      <c r="SBG4" s="564"/>
      <c r="SBH4" s="564"/>
      <c r="SBI4" s="564"/>
      <c r="SBJ4" s="564"/>
      <c r="SBK4" s="564"/>
      <c r="SBL4" s="564"/>
      <c r="SBM4" s="564"/>
      <c r="SBN4" s="564"/>
      <c r="SBO4" s="564"/>
      <c r="SBP4" s="564"/>
      <c r="SBQ4" s="564"/>
      <c r="SBR4" s="564"/>
      <c r="SBS4" s="564"/>
      <c r="SBT4" s="564"/>
      <c r="SBU4" s="564"/>
      <c r="SBV4" s="564"/>
      <c r="SBW4" s="564"/>
      <c r="SBX4" s="564"/>
      <c r="SBY4" s="564"/>
      <c r="SBZ4" s="564"/>
      <c r="SCA4" s="564"/>
      <c r="SCB4" s="564"/>
      <c r="SCC4" s="564"/>
      <c r="SCD4" s="564"/>
      <c r="SCE4" s="564"/>
      <c r="SCF4" s="564"/>
      <c r="SCG4" s="564"/>
      <c r="SCH4" s="564"/>
      <c r="SCI4" s="564"/>
      <c r="SCJ4" s="564"/>
      <c r="SCK4" s="564"/>
      <c r="SCL4" s="564"/>
      <c r="SCM4" s="564"/>
      <c r="SCN4" s="564"/>
      <c r="SCO4" s="564"/>
      <c r="SCP4" s="564"/>
      <c r="SCQ4" s="564"/>
      <c r="SCR4" s="564"/>
      <c r="SCS4" s="564"/>
      <c r="SCT4" s="564"/>
      <c r="SCU4" s="564"/>
      <c r="SCV4" s="564"/>
      <c r="SCW4" s="564"/>
      <c r="SCX4" s="564"/>
      <c r="SCY4" s="564"/>
      <c r="SCZ4" s="564"/>
      <c r="SDA4" s="564"/>
      <c r="SDB4" s="564"/>
      <c r="SDC4" s="564"/>
      <c r="SDD4" s="564"/>
      <c r="SDE4" s="564"/>
      <c r="SDF4" s="564"/>
      <c r="SDG4" s="564"/>
      <c r="SDH4" s="564"/>
      <c r="SDI4" s="564"/>
      <c r="SDJ4" s="564"/>
      <c r="SDK4" s="564"/>
      <c r="SDL4" s="564"/>
      <c r="SDM4" s="564"/>
      <c r="SDN4" s="564"/>
      <c r="SDO4" s="564"/>
      <c r="SDP4" s="564"/>
      <c r="SDQ4" s="564"/>
      <c r="SDR4" s="564"/>
      <c r="SDS4" s="564"/>
      <c r="SDT4" s="564"/>
      <c r="SDU4" s="564"/>
      <c r="SDV4" s="564"/>
      <c r="SDW4" s="564"/>
      <c r="SDX4" s="564"/>
      <c r="SDY4" s="564"/>
      <c r="SDZ4" s="564"/>
      <c r="SEA4" s="564"/>
      <c r="SEB4" s="564"/>
      <c r="SEC4" s="564"/>
      <c r="SED4" s="564"/>
      <c r="SEE4" s="564"/>
      <c r="SEF4" s="564"/>
      <c r="SEG4" s="564"/>
      <c r="SEH4" s="564"/>
      <c r="SEI4" s="564"/>
      <c r="SEJ4" s="564"/>
      <c r="SEK4" s="564"/>
      <c r="SEL4" s="564"/>
      <c r="SEM4" s="564"/>
      <c r="SEN4" s="564"/>
      <c r="SEO4" s="564"/>
      <c r="SEP4" s="564"/>
      <c r="SEQ4" s="564"/>
      <c r="SER4" s="564"/>
      <c r="SES4" s="564"/>
      <c r="SET4" s="564"/>
      <c r="SEU4" s="564"/>
      <c r="SEV4" s="564"/>
      <c r="SEW4" s="564"/>
      <c r="SEX4" s="564"/>
      <c r="SEY4" s="564"/>
      <c r="SEZ4" s="564"/>
      <c r="SFA4" s="564"/>
      <c r="SFB4" s="564"/>
      <c r="SFC4" s="564"/>
      <c r="SFD4" s="564"/>
      <c r="SFE4" s="564"/>
      <c r="SFF4" s="564"/>
      <c r="SFG4" s="564"/>
      <c r="SFH4" s="564"/>
      <c r="SFI4" s="564"/>
      <c r="SFJ4" s="564"/>
      <c r="SFK4" s="564"/>
      <c r="SFL4" s="564"/>
      <c r="SFM4" s="564"/>
      <c r="SFN4" s="564"/>
      <c r="SFO4" s="564"/>
      <c r="SFP4" s="564"/>
      <c r="SFQ4" s="564"/>
      <c r="SFR4" s="564"/>
      <c r="SFS4" s="564"/>
      <c r="SFT4" s="564"/>
      <c r="SFU4" s="564"/>
      <c r="SFV4" s="564"/>
      <c r="SFW4" s="564"/>
      <c r="SFX4" s="564"/>
      <c r="SFY4" s="564"/>
      <c r="SFZ4" s="564"/>
      <c r="SGA4" s="564"/>
      <c r="SGB4" s="564"/>
      <c r="SGC4" s="564"/>
      <c r="SGD4" s="564"/>
      <c r="SGE4" s="564"/>
      <c r="SGF4" s="564"/>
      <c r="SGG4" s="564"/>
      <c r="SGH4" s="564"/>
      <c r="SGI4" s="564"/>
      <c r="SGJ4" s="564"/>
      <c r="SGK4" s="564"/>
      <c r="SGL4" s="564"/>
      <c r="SGM4" s="564"/>
      <c r="SGN4" s="564"/>
      <c r="SGO4" s="564"/>
      <c r="SGP4" s="564"/>
      <c r="SGQ4" s="564"/>
      <c r="SGR4" s="564"/>
      <c r="SGS4" s="564"/>
      <c r="SGT4" s="564"/>
      <c r="SGU4" s="564"/>
      <c r="SGV4" s="564"/>
      <c r="SGW4" s="564"/>
      <c r="SGX4" s="564"/>
      <c r="SGY4" s="564"/>
      <c r="SGZ4" s="564"/>
      <c r="SHA4" s="564"/>
      <c r="SHB4" s="564"/>
      <c r="SHC4" s="564"/>
      <c r="SHD4" s="564"/>
      <c r="SHE4" s="564"/>
      <c r="SHF4" s="564"/>
      <c r="SHG4" s="564"/>
      <c r="SHH4" s="564"/>
      <c r="SHI4" s="564"/>
      <c r="SHJ4" s="564"/>
      <c r="SHK4" s="564"/>
      <c r="SHL4" s="564"/>
      <c r="SHM4" s="564"/>
      <c r="SHN4" s="564"/>
      <c r="SHO4" s="564"/>
      <c r="SHP4" s="564"/>
      <c r="SHQ4" s="564"/>
      <c r="SHR4" s="564"/>
      <c r="SHS4" s="564"/>
      <c r="SHT4" s="564"/>
      <c r="SHU4" s="564"/>
      <c r="SHV4" s="564"/>
      <c r="SHW4" s="564"/>
      <c r="SHX4" s="564"/>
      <c r="SHY4" s="564"/>
      <c r="SHZ4" s="564"/>
      <c r="SIA4" s="564"/>
      <c r="SIB4" s="564"/>
      <c r="SIC4" s="564"/>
      <c r="SID4" s="564"/>
      <c r="SIE4" s="564"/>
      <c r="SIF4" s="564"/>
      <c r="SIG4" s="564"/>
      <c r="SIH4" s="564"/>
      <c r="SII4" s="564"/>
      <c r="SIJ4" s="564"/>
      <c r="SIK4" s="564"/>
      <c r="SIL4" s="564"/>
      <c r="SIM4" s="564"/>
      <c r="SIN4" s="564"/>
      <c r="SIO4" s="564"/>
      <c r="SIP4" s="564"/>
      <c r="SIQ4" s="564"/>
      <c r="SIR4" s="564"/>
      <c r="SIS4" s="564"/>
      <c r="SIT4" s="564"/>
      <c r="SIU4" s="564"/>
      <c r="SIV4" s="564"/>
      <c r="SIW4" s="564"/>
      <c r="SIX4" s="564"/>
      <c r="SIY4" s="564"/>
      <c r="SIZ4" s="564"/>
      <c r="SJA4" s="564"/>
      <c r="SJB4" s="564"/>
      <c r="SJC4" s="564"/>
      <c r="SJD4" s="564"/>
      <c r="SJE4" s="564"/>
      <c r="SJF4" s="564"/>
      <c r="SJG4" s="564"/>
      <c r="SJH4" s="564"/>
      <c r="SJI4" s="564"/>
      <c r="SJJ4" s="564"/>
      <c r="SJK4" s="564"/>
      <c r="SJL4" s="564"/>
      <c r="SJM4" s="564"/>
      <c r="SJN4" s="564"/>
      <c r="SJO4" s="564"/>
      <c r="SJP4" s="564"/>
      <c r="SJQ4" s="564"/>
      <c r="SJR4" s="564"/>
      <c r="SJS4" s="564"/>
      <c r="SJT4" s="564"/>
      <c r="SJU4" s="564"/>
      <c r="SJV4" s="564"/>
      <c r="SJW4" s="564"/>
      <c r="SJX4" s="564"/>
      <c r="SJY4" s="564"/>
      <c r="SJZ4" s="564"/>
      <c r="SKA4" s="564"/>
      <c r="SKB4" s="564"/>
      <c r="SKC4" s="564"/>
      <c r="SKD4" s="564"/>
      <c r="SKE4" s="564"/>
      <c r="SKF4" s="564"/>
      <c r="SKG4" s="564"/>
      <c r="SKH4" s="564"/>
      <c r="SKI4" s="564"/>
      <c r="SKJ4" s="564"/>
      <c r="SKK4" s="564"/>
      <c r="SKL4" s="564"/>
      <c r="SKM4" s="564"/>
      <c r="SKN4" s="564"/>
      <c r="SKO4" s="564"/>
      <c r="SKP4" s="564"/>
      <c r="SKQ4" s="564"/>
      <c r="SKR4" s="564"/>
      <c r="SKS4" s="564"/>
      <c r="SKT4" s="564"/>
      <c r="SKU4" s="564"/>
      <c r="SKV4" s="564"/>
      <c r="SKW4" s="564"/>
      <c r="SKX4" s="564"/>
      <c r="SKY4" s="564"/>
      <c r="SKZ4" s="564"/>
      <c r="SLA4" s="564"/>
      <c r="SLB4" s="564"/>
      <c r="SLC4" s="564"/>
      <c r="SLD4" s="564"/>
      <c r="SLE4" s="564"/>
      <c r="SLF4" s="564"/>
      <c r="SLG4" s="564"/>
      <c r="SLH4" s="564"/>
      <c r="SLI4" s="564"/>
      <c r="SLJ4" s="564"/>
      <c r="SLK4" s="564"/>
      <c r="SLL4" s="564"/>
      <c r="SLM4" s="564"/>
      <c r="SLN4" s="564"/>
      <c r="SLO4" s="564"/>
      <c r="SLP4" s="564"/>
      <c r="SLQ4" s="564"/>
      <c r="SLR4" s="564"/>
      <c r="SLS4" s="564"/>
      <c r="SLT4" s="564"/>
      <c r="SLU4" s="564"/>
      <c r="SLV4" s="564"/>
      <c r="SLW4" s="564"/>
      <c r="SLX4" s="564"/>
      <c r="SLY4" s="564"/>
      <c r="SLZ4" s="564"/>
      <c r="SMA4" s="564"/>
      <c r="SMB4" s="564"/>
      <c r="SMC4" s="564"/>
      <c r="SMD4" s="564"/>
      <c r="SME4" s="564"/>
      <c r="SMF4" s="564"/>
      <c r="SMG4" s="564"/>
      <c r="SMH4" s="564"/>
      <c r="SMI4" s="564"/>
      <c r="SMJ4" s="564"/>
      <c r="SMK4" s="564"/>
      <c r="SML4" s="564"/>
      <c r="SMM4" s="564"/>
      <c r="SMN4" s="564"/>
      <c r="SMO4" s="564"/>
      <c r="SMP4" s="564"/>
      <c r="SMQ4" s="564"/>
      <c r="SMR4" s="564"/>
      <c r="SMS4" s="564"/>
      <c r="SMT4" s="564"/>
      <c r="SMU4" s="564"/>
      <c r="SMV4" s="564"/>
      <c r="SMW4" s="564"/>
      <c r="SMX4" s="564"/>
      <c r="SMY4" s="564"/>
      <c r="SMZ4" s="564"/>
      <c r="SNA4" s="564"/>
      <c r="SNB4" s="564"/>
      <c r="SNC4" s="564"/>
      <c r="SND4" s="564"/>
      <c r="SNE4" s="564"/>
      <c r="SNF4" s="564"/>
      <c r="SNG4" s="564"/>
      <c r="SNH4" s="564"/>
      <c r="SNI4" s="564"/>
      <c r="SNJ4" s="564"/>
      <c r="SNK4" s="564"/>
      <c r="SNL4" s="564"/>
      <c r="SNM4" s="564"/>
      <c r="SNN4" s="564"/>
      <c r="SNO4" s="564"/>
      <c r="SNP4" s="564"/>
      <c r="SNQ4" s="564"/>
      <c r="SNR4" s="564"/>
      <c r="SNS4" s="564"/>
      <c r="SNT4" s="564"/>
      <c r="SNU4" s="564"/>
      <c r="SNV4" s="564"/>
      <c r="SNW4" s="564"/>
      <c r="SNX4" s="564"/>
      <c r="SNY4" s="564"/>
      <c r="SNZ4" s="564"/>
      <c r="SOA4" s="564"/>
      <c r="SOB4" s="564"/>
      <c r="SOC4" s="564"/>
      <c r="SOD4" s="564"/>
      <c r="SOE4" s="564"/>
      <c r="SOF4" s="564"/>
      <c r="SOG4" s="564"/>
      <c r="SOH4" s="564"/>
      <c r="SOI4" s="564"/>
      <c r="SOJ4" s="564"/>
      <c r="SOK4" s="564"/>
      <c r="SOL4" s="564"/>
      <c r="SOM4" s="564"/>
      <c r="SON4" s="564"/>
      <c r="SOO4" s="564"/>
      <c r="SOP4" s="564"/>
      <c r="SOQ4" s="564"/>
      <c r="SOR4" s="564"/>
      <c r="SOS4" s="564"/>
      <c r="SOT4" s="564"/>
      <c r="SOU4" s="564"/>
      <c r="SOV4" s="564"/>
      <c r="SOW4" s="564"/>
      <c r="SOX4" s="564"/>
      <c r="SOY4" s="564"/>
      <c r="SOZ4" s="564"/>
      <c r="SPA4" s="564"/>
      <c r="SPB4" s="564"/>
      <c r="SPC4" s="564"/>
      <c r="SPD4" s="564"/>
      <c r="SPE4" s="564"/>
      <c r="SPF4" s="564"/>
      <c r="SPG4" s="564"/>
      <c r="SPH4" s="564"/>
      <c r="SPI4" s="564"/>
      <c r="SPJ4" s="564"/>
      <c r="SPK4" s="564"/>
      <c r="SPL4" s="564"/>
      <c r="SPM4" s="564"/>
      <c r="SPN4" s="564"/>
      <c r="SPO4" s="564"/>
      <c r="SPP4" s="564"/>
      <c r="SPQ4" s="564"/>
      <c r="SPR4" s="564"/>
      <c r="SPS4" s="564"/>
      <c r="SPT4" s="564"/>
      <c r="SPU4" s="564"/>
      <c r="SPV4" s="564"/>
      <c r="SPW4" s="564"/>
      <c r="SPX4" s="564"/>
      <c r="SPY4" s="564"/>
      <c r="SPZ4" s="564"/>
      <c r="SQA4" s="564"/>
      <c r="SQB4" s="564"/>
      <c r="SQC4" s="564"/>
      <c r="SQD4" s="564"/>
      <c r="SQE4" s="564"/>
      <c r="SQF4" s="564"/>
      <c r="SQG4" s="564"/>
      <c r="SQH4" s="564"/>
      <c r="SQI4" s="564"/>
      <c r="SQJ4" s="564"/>
      <c r="SQK4" s="564"/>
      <c r="SQL4" s="564"/>
      <c r="SQM4" s="564"/>
      <c r="SQN4" s="564"/>
      <c r="SQO4" s="564"/>
      <c r="SQP4" s="564"/>
      <c r="SQQ4" s="564"/>
      <c r="SQR4" s="564"/>
      <c r="SQS4" s="564"/>
      <c r="SQT4" s="564"/>
      <c r="SQU4" s="564"/>
      <c r="SQV4" s="564"/>
      <c r="SQW4" s="564"/>
      <c r="SQX4" s="564"/>
      <c r="SQY4" s="564"/>
      <c r="SQZ4" s="564"/>
      <c r="SRA4" s="564"/>
      <c r="SRB4" s="564"/>
      <c r="SRC4" s="564"/>
      <c r="SRD4" s="564"/>
      <c r="SRE4" s="564"/>
      <c r="SRF4" s="564"/>
      <c r="SRG4" s="564"/>
      <c r="SRH4" s="564"/>
      <c r="SRI4" s="564"/>
      <c r="SRJ4" s="564"/>
      <c r="SRK4" s="564"/>
      <c r="SRL4" s="564"/>
      <c r="SRM4" s="564"/>
      <c r="SRN4" s="564"/>
      <c r="SRO4" s="564"/>
      <c r="SRP4" s="564"/>
      <c r="SRQ4" s="564"/>
      <c r="SRR4" s="564"/>
      <c r="SRS4" s="564"/>
      <c r="SRT4" s="564"/>
      <c r="SRU4" s="564"/>
      <c r="SRV4" s="564"/>
      <c r="SRW4" s="564"/>
      <c r="SRX4" s="564"/>
      <c r="SRY4" s="564"/>
      <c r="SRZ4" s="564"/>
      <c r="SSA4" s="564"/>
      <c r="SSB4" s="564"/>
      <c r="SSC4" s="564"/>
      <c r="SSD4" s="564"/>
      <c r="SSE4" s="564"/>
      <c r="SSF4" s="564"/>
      <c r="SSG4" s="564"/>
      <c r="SSH4" s="564"/>
      <c r="SSI4" s="564"/>
      <c r="SSJ4" s="564"/>
      <c r="SSK4" s="564"/>
      <c r="SSL4" s="564"/>
      <c r="SSM4" s="564"/>
      <c r="SSN4" s="564"/>
      <c r="SSO4" s="564"/>
      <c r="SSP4" s="564"/>
      <c r="SSQ4" s="564"/>
      <c r="SSR4" s="564"/>
      <c r="SSS4" s="564"/>
      <c r="SST4" s="564"/>
      <c r="SSU4" s="564"/>
      <c r="SSV4" s="564"/>
      <c r="SSW4" s="564"/>
      <c r="SSX4" s="564"/>
      <c r="SSY4" s="564"/>
      <c r="SSZ4" s="564"/>
      <c r="STA4" s="564"/>
      <c r="STB4" s="564"/>
      <c r="STC4" s="564"/>
      <c r="STD4" s="564"/>
      <c r="STE4" s="564"/>
      <c r="STF4" s="564"/>
      <c r="STG4" s="564"/>
      <c r="STH4" s="564"/>
      <c r="STI4" s="564"/>
      <c r="STJ4" s="564"/>
      <c r="STK4" s="564"/>
      <c r="STL4" s="564"/>
      <c r="STM4" s="564"/>
      <c r="STN4" s="564"/>
      <c r="STO4" s="564"/>
      <c r="STP4" s="564"/>
      <c r="STQ4" s="564"/>
      <c r="STR4" s="564"/>
      <c r="STS4" s="564"/>
      <c r="STT4" s="564"/>
      <c r="STU4" s="564"/>
      <c r="STV4" s="564"/>
      <c r="STW4" s="564"/>
      <c r="STX4" s="564"/>
      <c r="STY4" s="564"/>
      <c r="STZ4" s="564"/>
      <c r="SUA4" s="564"/>
      <c r="SUB4" s="564"/>
      <c r="SUC4" s="564"/>
      <c r="SUD4" s="564"/>
      <c r="SUE4" s="564"/>
      <c r="SUF4" s="564"/>
      <c r="SUG4" s="564"/>
      <c r="SUH4" s="564"/>
      <c r="SUI4" s="564"/>
      <c r="SUJ4" s="564"/>
      <c r="SUK4" s="564"/>
      <c r="SUL4" s="564"/>
      <c r="SUM4" s="564"/>
      <c r="SUN4" s="564"/>
      <c r="SUO4" s="564"/>
      <c r="SUP4" s="564"/>
      <c r="SUQ4" s="564"/>
      <c r="SUR4" s="564"/>
      <c r="SUS4" s="564"/>
      <c r="SUT4" s="564"/>
      <c r="SUU4" s="564"/>
      <c r="SUV4" s="564"/>
      <c r="SUW4" s="564"/>
      <c r="SUX4" s="564"/>
      <c r="SUY4" s="564"/>
      <c r="SUZ4" s="564"/>
      <c r="SVA4" s="564"/>
      <c r="SVB4" s="564"/>
      <c r="SVC4" s="564"/>
      <c r="SVD4" s="564"/>
      <c r="SVE4" s="564"/>
      <c r="SVF4" s="564"/>
      <c r="SVG4" s="564"/>
      <c r="SVH4" s="564"/>
      <c r="SVI4" s="564"/>
      <c r="SVJ4" s="564"/>
      <c r="SVK4" s="564"/>
      <c r="SVL4" s="564"/>
      <c r="SVM4" s="564"/>
      <c r="SVN4" s="564"/>
      <c r="SVO4" s="564"/>
      <c r="SVP4" s="564"/>
      <c r="SVQ4" s="564"/>
      <c r="SVR4" s="564"/>
      <c r="SVS4" s="564"/>
      <c r="SVT4" s="564"/>
      <c r="SVU4" s="564"/>
      <c r="SVV4" s="564"/>
      <c r="SVW4" s="564"/>
      <c r="SVX4" s="564"/>
      <c r="SVY4" s="564"/>
      <c r="SVZ4" s="564"/>
      <c r="SWA4" s="564"/>
      <c r="SWB4" s="564"/>
      <c r="SWC4" s="564"/>
      <c r="SWD4" s="564"/>
      <c r="SWE4" s="564"/>
      <c r="SWF4" s="564"/>
      <c r="SWG4" s="564"/>
      <c r="SWH4" s="564"/>
      <c r="SWI4" s="564"/>
      <c r="SWJ4" s="564"/>
      <c r="SWK4" s="564"/>
      <c r="SWL4" s="564"/>
      <c r="SWM4" s="564"/>
      <c r="SWN4" s="564"/>
      <c r="SWO4" s="564"/>
      <c r="SWP4" s="564"/>
      <c r="SWQ4" s="564"/>
      <c r="SWR4" s="564"/>
      <c r="SWS4" s="564"/>
      <c r="SWT4" s="564"/>
      <c r="SWU4" s="564"/>
      <c r="SWV4" s="564"/>
      <c r="SWW4" s="564"/>
      <c r="SWX4" s="564"/>
      <c r="SWY4" s="564"/>
      <c r="SWZ4" s="564"/>
      <c r="SXA4" s="564"/>
      <c r="SXB4" s="564"/>
      <c r="SXC4" s="564"/>
      <c r="SXD4" s="564"/>
      <c r="SXE4" s="564"/>
      <c r="SXF4" s="564"/>
      <c r="SXG4" s="564"/>
      <c r="SXH4" s="564"/>
      <c r="SXI4" s="564"/>
      <c r="SXJ4" s="564"/>
      <c r="SXK4" s="564"/>
      <c r="SXL4" s="564"/>
      <c r="SXM4" s="564"/>
      <c r="SXN4" s="564"/>
      <c r="SXO4" s="564"/>
      <c r="SXP4" s="564"/>
      <c r="SXQ4" s="564"/>
      <c r="SXR4" s="564"/>
      <c r="SXS4" s="564"/>
      <c r="SXT4" s="564"/>
      <c r="SXU4" s="564"/>
      <c r="SXV4" s="564"/>
      <c r="SXW4" s="564"/>
      <c r="SXX4" s="564"/>
      <c r="SXY4" s="564"/>
      <c r="SXZ4" s="564"/>
      <c r="SYA4" s="564"/>
      <c r="SYB4" s="564"/>
      <c r="SYC4" s="564"/>
      <c r="SYD4" s="564"/>
      <c r="SYE4" s="564"/>
      <c r="SYF4" s="564"/>
      <c r="SYG4" s="564"/>
      <c r="SYH4" s="564"/>
      <c r="SYI4" s="564"/>
      <c r="SYJ4" s="564"/>
      <c r="SYK4" s="564"/>
      <c r="SYL4" s="564"/>
      <c r="SYM4" s="564"/>
      <c r="SYN4" s="564"/>
      <c r="SYO4" s="564"/>
      <c r="SYP4" s="564"/>
      <c r="SYQ4" s="564"/>
      <c r="SYR4" s="564"/>
      <c r="SYS4" s="564"/>
      <c r="SYT4" s="564"/>
      <c r="SYU4" s="564"/>
      <c r="SYV4" s="564"/>
      <c r="SYW4" s="564"/>
      <c r="SYX4" s="564"/>
      <c r="SYY4" s="564"/>
      <c r="SYZ4" s="564"/>
      <c r="SZA4" s="564"/>
      <c r="SZB4" s="564"/>
      <c r="SZC4" s="564"/>
      <c r="SZD4" s="564"/>
      <c r="SZE4" s="564"/>
      <c r="SZF4" s="564"/>
      <c r="SZG4" s="564"/>
      <c r="SZH4" s="564"/>
      <c r="SZI4" s="564"/>
      <c r="SZJ4" s="564"/>
      <c r="SZK4" s="564"/>
      <c r="SZL4" s="564"/>
      <c r="SZM4" s="564"/>
      <c r="SZN4" s="564"/>
      <c r="SZO4" s="564"/>
      <c r="SZP4" s="564"/>
      <c r="SZQ4" s="564"/>
      <c r="SZR4" s="564"/>
      <c r="SZS4" s="564"/>
      <c r="SZT4" s="564"/>
      <c r="SZU4" s="564"/>
      <c r="SZV4" s="564"/>
      <c r="SZW4" s="564"/>
      <c r="SZX4" s="564"/>
      <c r="SZY4" s="564"/>
      <c r="SZZ4" s="564"/>
      <c r="TAA4" s="564"/>
      <c r="TAB4" s="564"/>
      <c r="TAC4" s="564"/>
      <c r="TAD4" s="564"/>
      <c r="TAE4" s="564"/>
      <c r="TAF4" s="564"/>
      <c r="TAG4" s="564"/>
      <c r="TAH4" s="564"/>
      <c r="TAI4" s="564"/>
      <c r="TAJ4" s="564"/>
      <c r="TAK4" s="564"/>
      <c r="TAL4" s="564"/>
      <c r="TAM4" s="564"/>
      <c r="TAN4" s="564"/>
      <c r="TAO4" s="564"/>
      <c r="TAP4" s="564"/>
      <c r="TAQ4" s="564"/>
      <c r="TAR4" s="564"/>
      <c r="TAS4" s="564"/>
      <c r="TAT4" s="564"/>
      <c r="TAU4" s="564"/>
      <c r="TAV4" s="564"/>
      <c r="TAW4" s="564"/>
      <c r="TAX4" s="564"/>
      <c r="TAY4" s="564"/>
      <c r="TAZ4" s="564"/>
      <c r="TBA4" s="564"/>
      <c r="TBB4" s="564"/>
      <c r="TBC4" s="564"/>
      <c r="TBD4" s="564"/>
      <c r="TBE4" s="564"/>
      <c r="TBF4" s="564"/>
      <c r="TBG4" s="564"/>
      <c r="TBH4" s="564"/>
      <c r="TBI4" s="564"/>
      <c r="TBJ4" s="564"/>
      <c r="TBK4" s="564"/>
      <c r="TBL4" s="564"/>
      <c r="TBM4" s="564"/>
      <c r="TBN4" s="564"/>
      <c r="TBO4" s="564"/>
      <c r="TBP4" s="564"/>
      <c r="TBQ4" s="564"/>
      <c r="TBR4" s="564"/>
      <c r="TBS4" s="564"/>
      <c r="TBT4" s="564"/>
      <c r="TBU4" s="564"/>
      <c r="TBV4" s="564"/>
      <c r="TBW4" s="564"/>
      <c r="TBX4" s="564"/>
      <c r="TBY4" s="564"/>
      <c r="TBZ4" s="564"/>
      <c r="TCA4" s="564"/>
      <c r="TCB4" s="564"/>
      <c r="TCC4" s="564"/>
      <c r="TCD4" s="564"/>
      <c r="TCE4" s="564"/>
      <c r="TCF4" s="564"/>
      <c r="TCG4" s="564"/>
      <c r="TCH4" s="564"/>
      <c r="TCI4" s="564"/>
      <c r="TCJ4" s="564"/>
      <c r="TCK4" s="564"/>
      <c r="TCL4" s="564"/>
      <c r="TCM4" s="564"/>
      <c r="TCN4" s="564"/>
      <c r="TCO4" s="564"/>
      <c r="TCP4" s="564"/>
      <c r="TCQ4" s="564"/>
      <c r="TCR4" s="564"/>
      <c r="TCS4" s="564"/>
      <c r="TCT4" s="564"/>
      <c r="TCU4" s="564"/>
      <c r="TCV4" s="564"/>
      <c r="TCW4" s="564"/>
      <c r="TCX4" s="564"/>
      <c r="TCY4" s="564"/>
      <c r="TCZ4" s="564"/>
      <c r="TDA4" s="564"/>
      <c r="TDB4" s="564"/>
      <c r="TDC4" s="564"/>
      <c r="TDD4" s="564"/>
      <c r="TDE4" s="564"/>
      <c r="TDF4" s="564"/>
      <c r="TDG4" s="564"/>
      <c r="TDH4" s="564"/>
      <c r="TDI4" s="564"/>
      <c r="TDJ4" s="564"/>
      <c r="TDK4" s="564"/>
      <c r="TDL4" s="564"/>
      <c r="TDM4" s="564"/>
      <c r="TDN4" s="564"/>
      <c r="TDO4" s="564"/>
      <c r="TDP4" s="564"/>
      <c r="TDQ4" s="564"/>
      <c r="TDR4" s="564"/>
      <c r="TDS4" s="564"/>
      <c r="TDT4" s="564"/>
      <c r="TDU4" s="564"/>
      <c r="TDV4" s="564"/>
      <c r="TDW4" s="564"/>
      <c r="TDX4" s="564"/>
      <c r="TDY4" s="564"/>
      <c r="TDZ4" s="564"/>
      <c r="TEA4" s="564"/>
      <c r="TEB4" s="564"/>
      <c r="TEC4" s="564"/>
      <c r="TED4" s="564"/>
      <c r="TEE4" s="564"/>
      <c r="TEF4" s="564"/>
      <c r="TEG4" s="564"/>
      <c r="TEH4" s="564"/>
      <c r="TEI4" s="564"/>
      <c r="TEJ4" s="564"/>
      <c r="TEK4" s="564"/>
      <c r="TEL4" s="564"/>
      <c r="TEM4" s="564"/>
      <c r="TEN4" s="564"/>
      <c r="TEO4" s="564"/>
      <c r="TEP4" s="564"/>
      <c r="TEQ4" s="564"/>
      <c r="TER4" s="564"/>
      <c r="TES4" s="564"/>
      <c r="TET4" s="564"/>
      <c r="TEU4" s="564"/>
      <c r="TEV4" s="564"/>
      <c r="TEW4" s="564"/>
      <c r="TEX4" s="564"/>
      <c r="TEY4" s="564"/>
      <c r="TEZ4" s="564"/>
      <c r="TFA4" s="564"/>
      <c r="TFB4" s="564"/>
      <c r="TFC4" s="564"/>
      <c r="TFD4" s="564"/>
      <c r="TFE4" s="564"/>
      <c r="TFF4" s="564"/>
      <c r="TFG4" s="564"/>
      <c r="TFH4" s="564"/>
      <c r="TFI4" s="564"/>
      <c r="TFJ4" s="564"/>
      <c r="TFK4" s="564"/>
      <c r="TFL4" s="564"/>
      <c r="TFM4" s="564"/>
      <c r="TFN4" s="564"/>
      <c r="TFO4" s="564"/>
      <c r="TFP4" s="564"/>
      <c r="TFQ4" s="564"/>
      <c r="TFR4" s="564"/>
      <c r="TFS4" s="564"/>
      <c r="TFT4" s="564"/>
      <c r="TFU4" s="564"/>
      <c r="TFV4" s="564"/>
      <c r="TFW4" s="564"/>
      <c r="TFX4" s="564"/>
      <c r="TFY4" s="564"/>
      <c r="TFZ4" s="564"/>
      <c r="TGA4" s="564"/>
      <c r="TGB4" s="564"/>
      <c r="TGC4" s="564"/>
      <c r="TGD4" s="564"/>
      <c r="TGE4" s="564"/>
      <c r="TGF4" s="564"/>
      <c r="TGG4" s="564"/>
      <c r="TGH4" s="564"/>
      <c r="TGI4" s="564"/>
      <c r="TGJ4" s="564"/>
      <c r="TGK4" s="564"/>
      <c r="TGL4" s="564"/>
      <c r="TGM4" s="564"/>
      <c r="TGN4" s="564"/>
      <c r="TGO4" s="564"/>
      <c r="TGP4" s="564"/>
      <c r="TGQ4" s="564"/>
      <c r="TGR4" s="564"/>
      <c r="TGS4" s="564"/>
      <c r="TGT4" s="564"/>
      <c r="TGU4" s="564"/>
      <c r="TGV4" s="564"/>
      <c r="TGW4" s="564"/>
      <c r="TGX4" s="564"/>
      <c r="TGY4" s="564"/>
      <c r="TGZ4" s="564"/>
      <c r="THA4" s="564"/>
      <c r="THB4" s="564"/>
      <c r="THC4" s="564"/>
      <c r="THD4" s="564"/>
      <c r="THE4" s="564"/>
      <c r="THF4" s="564"/>
      <c r="THG4" s="564"/>
      <c r="THH4" s="564"/>
      <c r="THI4" s="564"/>
      <c r="THJ4" s="564"/>
      <c r="THK4" s="564"/>
      <c r="THL4" s="564"/>
      <c r="THM4" s="564"/>
      <c r="THN4" s="564"/>
      <c r="THO4" s="564"/>
      <c r="THP4" s="564"/>
      <c r="THQ4" s="564"/>
      <c r="THR4" s="564"/>
      <c r="THS4" s="564"/>
      <c r="THT4" s="564"/>
      <c r="THU4" s="564"/>
      <c r="THV4" s="564"/>
      <c r="THW4" s="564"/>
      <c r="THX4" s="564"/>
      <c r="THY4" s="564"/>
      <c r="THZ4" s="564"/>
      <c r="TIA4" s="564"/>
      <c r="TIB4" s="564"/>
      <c r="TIC4" s="564"/>
      <c r="TID4" s="564"/>
      <c r="TIE4" s="564"/>
      <c r="TIF4" s="564"/>
      <c r="TIG4" s="564"/>
      <c r="TIH4" s="564"/>
      <c r="TII4" s="564"/>
      <c r="TIJ4" s="564"/>
      <c r="TIK4" s="564"/>
      <c r="TIL4" s="564"/>
      <c r="TIM4" s="564"/>
      <c r="TIN4" s="564"/>
      <c r="TIO4" s="564"/>
      <c r="TIP4" s="564"/>
      <c r="TIQ4" s="564"/>
      <c r="TIR4" s="564"/>
      <c r="TIS4" s="564"/>
      <c r="TIT4" s="564"/>
      <c r="TIU4" s="564"/>
      <c r="TIV4" s="564"/>
      <c r="TIW4" s="564"/>
      <c r="TIX4" s="564"/>
      <c r="TIY4" s="564"/>
      <c r="TIZ4" s="564"/>
      <c r="TJA4" s="564"/>
      <c r="TJB4" s="564"/>
      <c r="TJC4" s="564"/>
      <c r="TJD4" s="564"/>
      <c r="TJE4" s="564"/>
      <c r="TJF4" s="564"/>
      <c r="TJG4" s="564"/>
      <c r="TJH4" s="564"/>
      <c r="TJI4" s="564"/>
      <c r="TJJ4" s="564"/>
      <c r="TJK4" s="564"/>
      <c r="TJL4" s="564"/>
      <c r="TJM4" s="564"/>
      <c r="TJN4" s="564"/>
      <c r="TJO4" s="564"/>
      <c r="TJP4" s="564"/>
      <c r="TJQ4" s="564"/>
      <c r="TJR4" s="564"/>
      <c r="TJS4" s="564"/>
      <c r="TJT4" s="564"/>
      <c r="TJU4" s="564"/>
      <c r="TJV4" s="564"/>
      <c r="TJW4" s="564"/>
      <c r="TJX4" s="564"/>
      <c r="TJY4" s="564"/>
      <c r="TJZ4" s="564"/>
      <c r="TKA4" s="564"/>
      <c r="TKB4" s="564"/>
      <c r="TKC4" s="564"/>
      <c r="TKD4" s="564"/>
      <c r="TKE4" s="564"/>
      <c r="TKF4" s="564"/>
      <c r="TKG4" s="564"/>
      <c r="TKH4" s="564"/>
      <c r="TKI4" s="564"/>
      <c r="TKJ4" s="564"/>
      <c r="TKK4" s="564"/>
      <c r="TKL4" s="564"/>
      <c r="TKM4" s="564"/>
      <c r="TKN4" s="564"/>
      <c r="TKO4" s="564"/>
      <c r="TKP4" s="564"/>
      <c r="TKQ4" s="564"/>
      <c r="TKR4" s="564"/>
      <c r="TKS4" s="564"/>
      <c r="TKT4" s="564"/>
      <c r="TKU4" s="564"/>
      <c r="TKV4" s="564"/>
      <c r="TKW4" s="564"/>
      <c r="TKX4" s="564"/>
      <c r="TKY4" s="564"/>
      <c r="TKZ4" s="564"/>
      <c r="TLA4" s="564"/>
      <c r="TLB4" s="564"/>
      <c r="TLC4" s="564"/>
      <c r="TLD4" s="564"/>
      <c r="TLE4" s="564"/>
      <c r="TLF4" s="564"/>
      <c r="TLG4" s="564"/>
      <c r="TLH4" s="564"/>
      <c r="TLI4" s="564"/>
      <c r="TLJ4" s="564"/>
      <c r="TLK4" s="564"/>
      <c r="TLL4" s="564"/>
      <c r="TLM4" s="564"/>
      <c r="TLN4" s="564"/>
      <c r="TLO4" s="564"/>
      <c r="TLP4" s="564"/>
      <c r="TLQ4" s="564"/>
      <c r="TLR4" s="564"/>
      <c r="TLS4" s="564"/>
      <c r="TLT4" s="564"/>
      <c r="TLU4" s="564"/>
      <c r="TLV4" s="564"/>
      <c r="TLW4" s="564"/>
      <c r="TLX4" s="564"/>
      <c r="TLY4" s="564"/>
      <c r="TLZ4" s="564"/>
      <c r="TMA4" s="564"/>
      <c r="TMB4" s="564"/>
      <c r="TMC4" s="564"/>
      <c r="TMD4" s="564"/>
      <c r="TME4" s="564"/>
      <c r="TMF4" s="564"/>
      <c r="TMG4" s="564"/>
      <c r="TMH4" s="564"/>
      <c r="TMI4" s="564"/>
      <c r="TMJ4" s="564"/>
      <c r="TMK4" s="564"/>
      <c r="TML4" s="564"/>
      <c r="TMM4" s="564"/>
      <c r="TMN4" s="564"/>
      <c r="TMO4" s="564"/>
      <c r="TMP4" s="564"/>
      <c r="TMQ4" s="564"/>
      <c r="TMR4" s="564"/>
      <c r="TMS4" s="564"/>
      <c r="TMT4" s="564"/>
      <c r="TMU4" s="564"/>
      <c r="TMV4" s="564"/>
      <c r="TMW4" s="564"/>
      <c r="TMX4" s="564"/>
      <c r="TMY4" s="564"/>
      <c r="TMZ4" s="564"/>
      <c r="TNA4" s="564"/>
      <c r="TNB4" s="564"/>
      <c r="TNC4" s="564"/>
      <c r="TND4" s="564"/>
      <c r="TNE4" s="564"/>
      <c r="TNF4" s="564"/>
      <c r="TNG4" s="564"/>
      <c r="TNH4" s="564"/>
      <c r="TNI4" s="564"/>
      <c r="TNJ4" s="564"/>
      <c r="TNK4" s="564"/>
      <c r="TNL4" s="564"/>
      <c r="TNM4" s="564"/>
      <c r="TNN4" s="564"/>
      <c r="TNO4" s="564"/>
      <c r="TNP4" s="564"/>
      <c r="TNQ4" s="564"/>
      <c r="TNR4" s="564"/>
      <c r="TNS4" s="564"/>
      <c r="TNT4" s="564"/>
      <c r="TNU4" s="564"/>
      <c r="TNV4" s="564"/>
      <c r="TNW4" s="564"/>
      <c r="TNX4" s="564"/>
      <c r="TNY4" s="564"/>
      <c r="TNZ4" s="564"/>
      <c r="TOA4" s="564"/>
      <c r="TOB4" s="564"/>
      <c r="TOC4" s="564"/>
      <c r="TOD4" s="564"/>
      <c r="TOE4" s="564"/>
      <c r="TOF4" s="564"/>
      <c r="TOG4" s="564"/>
      <c r="TOH4" s="564"/>
      <c r="TOI4" s="564"/>
      <c r="TOJ4" s="564"/>
      <c r="TOK4" s="564"/>
      <c r="TOL4" s="564"/>
      <c r="TOM4" s="564"/>
      <c r="TON4" s="564"/>
      <c r="TOO4" s="564"/>
      <c r="TOP4" s="564"/>
      <c r="TOQ4" s="564"/>
      <c r="TOR4" s="564"/>
      <c r="TOS4" s="564"/>
      <c r="TOT4" s="564"/>
      <c r="TOU4" s="564"/>
      <c r="TOV4" s="564"/>
      <c r="TOW4" s="564"/>
      <c r="TOX4" s="564"/>
      <c r="TOY4" s="564"/>
      <c r="TOZ4" s="564"/>
      <c r="TPA4" s="564"/>
      <c r="TPB4" s="564"/>
      <c r="TPC4" s="564"/>
      <c r="TPD4" s="564"/>
      <c r="TPE4" s="564"/>
      <c r="TPF4" s="564"/>
      <c r="TPG4" s="564"/>
      <c r="TPH4" s="564"/>
      <c r="TPI4" s="564"/>
      <c r="TPJ4" s="564"/>
      <c r="TPK4" s="564"/>
      <c r="TPL4" s="564"/>
      <c r="TPM4" s="564"/>
      <c r="TPN4" s="564"/>
      <c r="TPO4" s="564"/>
      <c r="TPP4" s="564"/>
      <c r="TPQ4" s="564"/>
      <c r="TPR4" s="564"/>
      <c r="TPS4" s="564"/>
      <c r="TPT4" s="564"/>
      <c r="TPU4" s="564"/>
      <c r="TPV4" s="564"/>
      <c r="TPW4" s="564"/>
      <c r="TPX4" s="564"/>
      <c r="TPY4" s="564"/>
      <c r="TPZ4" s="564"/>
      <c r="TQA4" s="564"/>
      <c r="TQB4" s="564"/>
      <c r="TQC4" s="564"/>
      <c r="TQD4" s="564"/>
      <c r="TQE4" s="564"/>
      <c r="TQF4" s="564"/>
      <c r="TQG4" s="564"/>
      <c r="TQH4" s="564"/>
      <c r="TQI4" s="564"/>
      <c r="TQJ4" s="564"/>
      <c r="TQK4" s="564"/>
      <c r="TQL4" s="564"/>
      <c r="TQM4" s="564"/>
      <c r="TQN4" s="564"/>
      <c r="TQO4" s="564"/>
      <c r="TQP4" s="564"/>
      <c r="TQQ4" s="564"/>
      <c r="TQR4" s="564"/>
      <c r="TQS4" s="564"/>
      <c r="TQT4" s="564"/>
      <c r="TQU4" s="564"/>
      <c r="TQV4" s="564"/>
      <c r="TQW4" s="564"/>
      <c r="TQX4" s="564"/>
      <c r="TQY4" s="564"/>
      <c r="TQZ4" s="564"/>
      <c r="TRA4" s="564"/>
      <c r="TRB4" s="564"/>
      <c r="TRC4" s="564"/>
      <c r="TRD4" s="564"/>
      <c r="TRE4" s="564"/>
      <c r="TRF4" s="564"/>
      <c r="TRG4" s="564"/>
      <c r="TRH4" s="564"/>
      <c r="TRI4" s="564"/>
      <c r="TRJ4" s="564"/>
      <c r="TRK4" s="564"/>
      <c r="TRL4" s="564"/>
      <c r="TRM4" s="564"/>
      <c r="TRN4" s="564"/>
      <c r="TRO4" s="564"/>
      <c r="TRP4" s="564"/>
      <c r="TRQ4" s="564"/>
      <c r="TRR4" s="564"/>
      <c r="TRS4" s="564"/>
      <c r="TRT4" s="564"/>
      <c r="TRU4" s="564"/>
      <c r="TRV4" s="564"/>
      <c r="TRW4" s="564"/>
      <c r="TRX4" s="564"/>
      <c r="TRY4" s="564"/>
      <c r="TRZ4" s="564"/>
      <c r="TSA4" s="564"/>
      <c r="TSB4" s="564"/>
      <c r="TSC4" s="564"/>
      <c r="TSD4" s="564"/>
      <c r="TSE4" s="564"/>
      <c r="TSF4" s="564"/>
      <c r="TSG4" s="564"/>
      <c r="TSH4" s="564"/>
      <c r="TSI4" s="564"/>
      <c r="TSJ4" s="564"/>
      <c r="TSK4" s="564"/>
      <c r="TSL4" s="564"/>
      <c r="TSM4" s="564"/>
      <c r="TSN4" s="564"/>
      <c r="TSO4" s="564"/>
      <c r="TSP4" s="564"/>
      <c r="TSQ4" s="564"/>
      <c r="TSR4" s="564"/>
      <c r="TSS4" s="564"/>
      <c r="TST4" s="564"/>
      <c r="TSU4" s="564"/>
      <c r="TSV4" s="564"/>
      <c r="TSW4" s="564"/>
      <c r="TSX4" s="564"/>
      <c r="TSY4" s="564"/>
      <c r="TSZ4" s="564"/>
      <c r="TTA4" s="564"/>
      <c r="TTB4" s="564"/>
      <c r="TTC4" s="564"/>
      <c r="TTD4" s="564"/>
      <c r="TTE4" s="564"/>
      <c r="TTF4" s="564"/>
      <c r="TTG4" s="564"/>
      <c r="TTH4" s="564"/>
      <c r="TTI4" s="564"/>
      <c r="TTJ4" s="564"/>
      <c r="TTK4" s="564"/>
      <c r="TTL4" s="564"/>
      <c r="TTM4" s="564"/>
      <c r="TTN4" s="564"/>
      <c r="TTO4" s="564"/>
      <c r="TTP4" s="564"/>
      <c r="TTQ4" s="564"/>
      <c r="TTR4" s="564"/>
      <c r="TTS4" s="564"/>
      <c r="TTT4" s="564"/>
      <c r="TTU4" s="564"/>
      <c r="TTV4" s="564"/>
      <c r="TTW4" s="564"/>
      <c r="TTX4" s="564"/>
      <c r="TTY4" s="564"/>
      <c r="TTZ4" s="564"/>
      <c r="TUA4" s="564"/>
      <c r="TUB4" s="564"/>
      <c r="TUC4" s="564"/>
      <c r="TUD4" s="564"/>
      <c r="TUE4" s="564"/>
      <c r="TUF4" s="564"/>
      <c r="TUG4" s="564"/>
      <c r="TUH4" s="564"/>
      <c r="TUI4" s="564"/>
      <c r="TUJ4" s="564"/>
      <c r="TUK4" s="564"/>
      <c r="TUL4" s="564"/>
      <c r="TUM4" s="564"/>
      <c r="TUN4" s="564"/>
      <c r="TUO4" s="564"/>
      <c r="TUP4" s="564"/>
      <c r="TUQ4" s="564"/>
      <c r="TUR4" s="564"/>
      <c r="TUS4" s="564"/>
      <c r="TUT4" s="564"/>
      <c r="TUU4" s="564"/>
      <c r="TUV4" s="564"/>
      <c r="TUW4" s="564"/>
      <c r="TUX4" s="564"/>
      <c r="TUY4" s="564"/>
      <c r="TUZ4" s="564"/>
      <c r="TVA4" s="564"/>
      <c r="TVB4" s="564"/>
      <c r="TVC4" s="564"/>
      <c r="TVD4" s="564"/>
      <c r="TVE4" s="564"/>
      <c r="TVF4" s="564"/>
      <c r="TVG4" s="564"/>
      <c r="TVH4" s="564"/>
      <c r="TVI4" s="564"/>
      <c r="TVJ4" s="564"/>
      <c r="TVK4" s="564"/>
      <c r="TVL4" s="564"/>
      <c r="TVM4" s="564"/>
      <c r="TVN4" s="564"/>
      <c r="TVO4" s="564"/>
      <c r="TVP4" s="564"/>
      <c r="TVQ4" s="564"/>
      <c r="TVR4" s="564"/>
      <c r="TVS4" s="564"/>
      <c r="TVT4" s="564"/>
      <c r="TVU4" s="564"/>
      <c r="TVV4" s="564"/>
      <c r="TVW4" s="564"/>
      <c r="TVX4" s="564"/>
      <c r="TVY4" s="564"/>
      <c r="TVZ4" s="564"/>
      <c r="TWA4" s="564"/>
      <c r="TWB4" s="564"/>
      <c r="TWC4" s="564"/>
      <c r="TWD4" s="564"/>
      <c r="TWE4" s="564"/>
      <c r="TWF4" s="564"/>
      <c r="TWG4" s="564"/>
      <c r="TWH4" s="564"/>
      <c r="TWI4" s="564"/>
      <c r="TWJ4" s="564"/>
      <c r="TWK4" s="564"/>
      <c r="TWL4" s="564"/>
      <c r="TWM4" s="564"/>
      <c r="TWN4" s="564"/>
      <c r="TWO4" s="564"/>
      <c r="TWP4" s="564"/>
      <c r="TWQ4" s="564"/>
      <c r="TWR4" s="564"/>
      <c r="TWS4" s="564"/>
      <c r="TWT4" s="564"/>
      <c r="TWU4" s="564"/>
      <c r="TWV4" s="564"/>
      <c r="TWW4" s="564"/>
      <c r="TWX4" s="564"/>
      <c r="TWY4" s="564"/>
      <c r="TWZ4" s="564"/>
      <c r="TXA4" s="564"/>
      <c r="TXB4" s="564"/>
      <c r="TXC4" s="564"/>
      <c r="TXD4" s="564"/>
      <c r="TXE4" s="564"/>
      <c r="TXF4" s="564"/>
      <c r="TXG4" s="564"/>
      <c r="TXH4" s="564"/>
      <c r="TXI4" s="564"/>
      <c r="TXJ4" s="564"/>
      <c r="TXK4" s="564"/>
      <c r="TXL4" s="564"/>
      <c r="TXM4" s="564"/>
      <c r="TXN4" s="564"/>
      <c r="TXO4" s="564"/>
      <c r="TXP4" s="564"/>
      <c r="TXQ4" s="564"/>
      <c r="TXR4" s="564"/>
      <c r="TXS4" s="564"/>
      <c r="TXT4" s="564"/>
      <c r="TXU4" s="564"/>
      <c r="TXV4" s="564"/>
      <c r="TXW4" s="564"/>
      <c r="TXX4" s="564"/>
      <c r="TXY4" s="564"/>
      <c r="TXZ4" s="564"/>
      <c r="TYA4" s="564"/>
      <c r="TYB4" s="564"/>
      <c r="TYC4" s="564"/>
      <c r="TYD4" s="564"/>
      <c r="TYE4" s="564"/>
      <c r="TYF4" s="564"/>
      <c r="TYG4" s="564"/>
      <c r="TYH4" s="564"/>
      <c r="TYI4" s="564"/>
      <c r="TYJ4" s="564"/>
      <c r="TYK4" s="564"/>
      <c r="TYL4" s="564"/>
      <c r="TYM4" s="564"/>
      <c r="TYN4" s="564"/>
      <c r="TYO4" s="564"/>
      <c r="TYP4" s="564"/>
      <c r="TYQ4" s="564"/>
      <c r="TYR4" s="564"/>
      <c r="TYS4" s="564"/>
      <c r="TYT4" s="564"/>
      <c r="TYU4" s="564"/>
      <c r="TYV4" s="564"/>
      <c r="TYW4" s="564"/>
      <c r="TYX4" s="564"/>
      <c r="TYY4" s="564"/>
      <c r="TYZ4" s="564"/>
      <c r="TZA4" s="564"/>
      <c r="TZB4" s="564"/>
      <c r="TZC4" s="564"/>
      <c r="TZD4" s="564"/>
      <c r="TZE4" s="564"/>
      <c r="TZF4" s="564"/>
      <c r="TZG4" s="564"/>
      <c r="TZH4" s="564"/>
      <c r="TZI4" s="564"/>
      <c r="TZJ4" s="564"/>
      <c r="TZK4" s="564"/>
      <c r="TZL4" s="564"/>
      <c r="TZM4" s="564"/>
      <c r="TZN4" s="564"/>
      <c r="TZO4" s="564"/>
      <c r="TZP4" s="564"/>
      <c r="TZQ4" s="564"/>
      <c r="TZR4" s="564"/>
      <c r="TZS4" s="564"/>
      <c r="TZT4" s="564"/>
      <c r="TZU4" s="564"/>
      <c r="TZV4" s="564"/>
      <c r="TZW4" s="564"/>
      <c r="TZX4" s="564"/>
      <c r="TZY4" s="564"/>
      <c r="TZZ4" s="564"/>
      <c r="UAA4" s="564"/>
      <c r="UAB4" s="564"/>
      <c r="UAC4" s="564"/>
      <c r="UAD4" s="564"/>
      <c r="UAE4" s="564"/>
      <c r="UAF4" s="564"/>
      <c r="UAG4" s="564"/>
      <c r="UAH4" s="564"/>
      <c r="UAI4" s="564"/>
      <c r="UAJ4" s="564"/>
      <c r="UAK4" s="564"/>
      <c r="UAL4" s="564"/>
      <c r="UAM4" s="564"/>
      <c r="UAN4" s="564"/>
      <c r="UAO4" s="564"/>
      <c r="UAP4" s="564"/>
      <c r="UAQ4" s="564"/>
      <c r="UAR4" s="564"/>
      <c r="UAS4" s="564"/>
      <c r="UAT4" s="564"/>
      <c r="UAU4" s="564"/>
      <c r="UAV4" s="564"/>
      <c r="UAW4" s="564"/>
      <c r="UAX4" s="564"/>
      <c r="UAY4" s="564"/>
      <c r="UAZ4" s="564"/>
      <c r="UBA4" s="564"/>
      <c r="UBB4" s="564"/>
      <c r="UBC4" s="564"/>
      <c r="UBD4" s="564"/>
      <c r="UBE4" s="564"/>
      <c r="UBF4" s="564"/>
      <c r="UBG4" s="564"/>
      <c r="UBH4" s="564"/>
      <c r="UBI4" s="564"/>
      <c r="UBJ4" s="564"/>
      <c r="UBK4" s="564"/>
      <c r="UBL4" s="564"/>
      <c r="UBM4" s="564"/>
      <c r="UBN4" s="564"/>
      <c r="UBO4" s="564"/>
      <c r="UBP4" s="564"/>
      <c r="UBQ4" s="564"/>
      <c r="UBR4" s="564"/>
      <c r="UBS4" s="564"/>
      <c r="UBT4" s="564"/>
      <c r="UBU4" s="564"/>
      <c r="UBV4" s="564"/>
      <c r="UBW4" s="564"/>
      <c r="UBX4" s="564"/>
      <c r="UBY4" s="564"/>
      <c r="UBZ4" s="564"/>
      <c r="UCA4" s="564"/>
      <c r="UCB4" s="564"/>
      <c r="UCC4" s="564"/>
      <c r="UCD4" s="564"/>
      <c r="UCE4" s="564"/>
      <c r="UCF4" s="564"/>
      <c r="UCG4" s="564"/>
      <c r="UCH4" s="564"/>
      <c r="UCI4" s="564"/>
      <c r="UCJ4" s="564"/>
      <c r="UCK4" s="564"/>
      <c r="UCL4" s="564"/>
      <c r="UCM4" s="564"/>
      <c r="UCN4" s="564"/>
      <c r="UCO4" s="564"/>
      <c r="UCP4" s="564"/>
      <c r="UCQ4" s="564"/>
      <c r="UCR4" s="564"/>
      <c r="UCS4" s="564"/>
      <c r="UCT4" s="564"/>
      <c r="UCU4" s="564"/>
      <c r="UCV4" s="564"/>
      <c r="UCW4" s="564"/>
      <c r="UCX4" s="564"/>
      <c r="UCY4" s="564"/>
      <c r="UCZ4" s="564"/>
      <c r="UDA4" s="564"/>
      <c r="UDB4" s="564"/>
      <c r="UDC4" s="564"/>
      <c r="UDD4" s="564"/>
      <c r="UDE4" s="564"/>
      <c r="UDF4" s="564"/>
      <c r="UDG4" s="564"/>
      <c r="UDH4" s="564"/>
      <c r="UDI4" s="564"/>
      <c r="UDJ4" s="564"/>
      <c r="UDK4" s="564"/>
      <c r="UDL4" s="564"/>
      <c r="UDM4" s="564"/>
      <c r="UDN4" s="564"/>
      <c r="UDO4" s="564"/>
      <c r="UDP4" s="564"/>
      <c r="UDQ4" s="564"/>
      <c r="UDR4" s="564"/>
      <c r="UDS4" s="564"/>
      <c r="UDT4" s="564"/>
      <c r="UDU4" s="564"/>
      <c r="UDV4" s="564"/>
      <c r="UDW4" s="564"/>
      <c r="UDX4" s="564"/>
      <c r="UDY4" s="564"/>
      <c r="UDZ4" s="564"/>
      <c r="UEA4" s="564"/>
      <c r="UEB4" s="564"/>
      <c r="UEC4" s="564"/>
      <c r="UED4" s="564"/>
      <c r="UEE4" s="564"/>
      <c r="UEF4" s="564"/>
      <c r="UEG4" s="564"/>
      <c r="UEH4" s="564"/>
      <c r="UEI4" s="564"/>
      <c r="UEJ4" s="564"/>
      <c r="UEK4" s="564"/>
      <c r="UEL4" s="564"/>
      <c r="UEM4" s="564"/>
      <c r="UEN4" s="564"/>
      <c r="UEO4" s="564"/>
      <c r="UEP4" s="564"/>
      <c r="UEQ4" s="564"/>
      <c r="UER4" s="564"/>
      <c r="UES4" s="564"/>
      <c r="UET4" s="564"/>
      <c r="UEU4" s="564"/>
      <c r="UEV4" s="564"/>
      <c r="UEW4" s="564"/>
      <c r="UEX4" s="564"/>
      <c r="UEY4" s="564"/>
      <c r="UEZ4" s="564"/>
      <c r="UFA4" s="564"/>
      <c r="UFB4" s="564"/>
      <c r="UFC4" s="564"/>
      <c r="UFD4" s="564"/>
      <c r="UFE4" s="564"/>
      <c r="UFF4" s="564"/>
      <c r="UFG4" s="564"/>
      <c r="UFH4" s="564"/>
      <c r="UFI4" s="564"/>
      <c r="UFJ4" s="564"/>
      <c r="UFK4" s="564"/>
      <c r="UFL4" s="564"/>
      <c r="UFM4" s="564"/>
      <c r="UFN4" s="564"/>
      <c r="UFO4" s="564"/>
      <c r="UFP4" s="564"/>
      <c r="UFQ4" s="564"/>
      <c r="UFR4" s="564"/>
      <c r="UFS4" s="564"/>
      <c r="UFT4" s="564"/>
      <c r="UFU4" s="564"/>
      <c r="UFV4" s="564"/>
      <c r="UFW4" s="564"/>
      <c r="UFX4" s="564"/>
      <c r="UFY4" s="564"/>
      <c r="UFZ4" s="564"/>
      <c r="UGA4" s="564"/>
      <c r="UGB4" s="564"/>
      <c r="UGC4" s="564"/>
      <c r="UGD4" s="564"/>
      <c r="UGE4" s="564"/>
      <c r="UGF4" s="564"/>
      <c r="UGG4" s="564"/>
      <c r="UGH4" s="564"/>
      <c r="UGI4" s="564"/>
      <c r="UGJ4" s="564"/>
      <c r="UGK4" s="564"/>
      <c r="UGL4" s="564"/>
      <c r="UGM4" s="564"/>
      <c r="UGN4" s="564"/>
      <c r="UGO4" s="564"/>
      <c r="UGP4" s="564"/>
      <c r="UGQ4" s="564"/>
      <c r="UGR4" s="564"/>
      <c r="UGS4" s="564"/>
      <c r="UGT4" s="564"/>
      <c r="UGU4" s="564"/>
      <c r="UGV4" s="564"/>
      <c r="UGW4" s="564"/>
      <c r="UGX4" s="564"/>
      <c r="UGY4" s="564"/>
      <c r="UGZ4" s="564"/>
      <c r="UHA4" s="564"/>
      <c r="UHB4" s="564"/>
      <c r="UHC4" s="564"/>
      <c r="UHD4" s="564"/>
      <c r="UHE4" s="564"/>
      <c r="UHF4" s="564"/>
      <c r="UHG4" s="564"/>
      <c r="UHH4" s="564"/>
      <c r="UHI4" s="564"/>
      <c r="UHJ4" s="564"/>
      <c r="UHK4" s="564"/>
      <c r="UHL4" s="564"/>
      <c r="UHM4" s="564"/>
      <c r="UHN4" s="564"/>
      <c r="UHO4" s="564"/>
      <c r="UHP4" s="564"/>
      <c r="UHQ4" s="564"/>
      <c r="UHR4" s="564"/>
      <c r="UHS4" s="564"/>
      <c r="UHT4" s="564"/>
      <c r="UHU4" s="564"/>
      <c r="UHV4" s="564"/>
      <c r="UHW4" s="564"/>
      <c r="UHX4" s="564"/>
      <c r="UHY4" s="564"/>
      <c r="UHZ4" s="564"/>
      <c r="UIA4" s="564"/>
      <c r="UIB4" s="564"/>
      <c r="UIC4" s="564"/>
      <c r="UID4" s="564"/>
      <c r="UIE4" s="564"/>
      <c r="UIF4" s="564"/>
      <c r="UIG4" s="564"/>
      <c r="UIH4" s="564"/>
      <c r="UII4" s="564"/>
      <c r="UIJ4" s="564"/>
      <c r="UIK4" s="564"/>
      <c r="UIL4" s="564"/>
      <c r="UIM4" s="564"/>
      <c r="UIN4" s="564"/>
      <c r="UIO4" s="564"/>
      <c r="UIP4" s="564"/>
      <c r="UIQ4" s="564"/>
      <c r="UIR4" s="564"/>
      <c r="UIS4" s="564"/>
      <c r="UIT4" s="564"/>
      <c r="UIU4" s="564"/>
      <c r="UIV4" s="564"/>
      <c r="UIW4" s="564"/>
      <c r="UIX4" s="564"/>
      <c r="UIY4" s="564"/>
      <c r="UIZ4" s="564"/>
      <c r="UJA4" s="564"/>
      <c r="UJB4" s="564"/>
      <c r="UJC4" s="564"/>
      <c r="UJD4" s="564"/>
      <c r="UJE4" s="564"/>
      <c r="UJF4" s="564"/>
      <c r="UJG4" s="564"/>
      <c r="UJH4" s="564"/>
      <c r="UJI4" s="564"/>
      <c r="UJJ4" s="564"/>
      <c r="UJK4" s="564"/>
      <c r="UJL4" s="564"/>
      <c r="UJM4" s="564"/>
      <c r="UJN4" s="564"/>
      <c r="UJO4" s="564"/>
      <c r="UJP4" s="564"/>
      <c r="UJQ4" s="564"/>
      <c r="UJR4" s="564"/>
      <c r="UJS4" s="564"/>
      <c r="UJT4" s="564"/>
      <c r="UJU4" s="564"/>
      <c r="UJV4" s="564"/>
      <c r="UJW4" s="564"/>
      <c r="UJX4" s="564"/>
      <c r="UJY4" s="564"/>
      <c r="UJZ4" s="564"/>
      <c r="UKA4" s="564"/>
      <c r="UKB4" s="564"/>
      <c r="UKC4" s="564"/>
      <c r="UKD4" s="564"/>
      <c r="UKE4" s="564"/>
      <c r="UKF4" s="564"/>
      <c r="UKG4" s="564"/>
      <c r="UKH4" s="564"/>
      <c r="UKI4" s="564"/>
      <c r="UKJ4" s="564"/>
      <c r="UKK4" s="564"/>
      <c r="UKL4" s="564"/>
      <c r="UKM4" s="564"/>
      <c r="UKN4" s="564"/>
      <c r="UKO4" s="564"/>
      <c r="UKP4" s="564"/>
      <c r="UKQ4" s="564"/>
      <c r="UKR4" s="564"/>
      <c r="UKS4" s="564"/>
      <c r="UKT4" s="564"/>
      <c r="UKU4" s="564"/>
      <c r="UKV4" s="564"/>
      <c r="UKW4" s="564"/>
      <c r="UKX4" s="564"/>
      <c r="UKY4" s="564"/>
      <c r="UKZ4" s="564"/>
      <c r="ULA4" s="564"/>
      <c r="ULB4" s="564"/>
      <c r="ULC4" s="564"/>
      <c r="ULD4" s="564"/>
      <c r="ULE4" s="564"/>
      <c r="ULF4" s="564"/>
      <c r="ULG4" s="564"/>
      <c r="ULH4" s="564"/>
      <c r="ULI4" s="564"/>
      <c r="ULJ4" s="564"/>
      <c r="ULK4" s="564"/>
      <c r="ULL4" s="564"/>
      <c r="ULM4" s="564"/>
      <c r="ULN4" s="564"/>
      <c r="ULO4" s="564"/>
      <c r="ULP4" s="564"/>
      <c r="ULQ4" s="564"/>
      <c r="ULR4" s="564"/>
      <c r="ULS4" s="564"/>
      <c r="ULT4" s="564"/>
      <c r="ULU4" s="564"/>
      <c r="ULV4" s="564"/>
      <c r="ULW4" s="564"/>
      <c r="ULX4" s="564"/>
      <c r="ULY4" s="564"/>
      <c r="ULZ4" s="564"/>
      <c r="UMA4" s="564"/>
      <c r="UMB4" s="564"/>
      <c r="UMC4" s="564"/>
      <c r="UMD4" s="564"/>
      <c r="UME4" s="564"/>
      <c r="UMF4" s="564"/>
      <c r="UMG4" s="564"/>
      <c r="UMH4" s="564"/>
      <c r="UMI4" s="564"/>
      <c r="UMJ4" s="564"/>
      <c r="UMK4" s="564"/>
      <c r="UML4" s="564"/>
      <c r="UMM4" s="564"/>
      <c r="UMN4" s="564"/>
      <c r="UMO4" s="564"/>
      <c r="UMP4" s="564"/>
      <c r="UMQ4" s="564"/>
      <c r="UMR4" s="564"/>
      <c r="UMS4" s="564"/>
      <c r="UMT4" s="564"/>
      <c r="UMU4" s="564"/>
      <c r="UMV4" s="564"/>
      <c r="UMW4" s="564"/>
      <c r="UMX4" s="564"/>
      <c r="UMY4" s="564"/>
      <c r="UMZ4" s="564"/>
      <c r="UNA4" s="564"/>
      <c r="UNB4" s="564"/>
      <c r="UNC4" s="564"/>
      <c r="UND4" s="564"/>
      <c r="UNE4" s="564"/>
      <c r="UNF4" s="564"/>
      <c r="UNG4" s="564"/>
      <c r="UNH4" s="564"/>
      <c r="UNI4" s="564"/>
      <c r="UNJ4" s="564"/>
      <c r="UNK4" s="564"/>
      <c r="UNL4" s="564"/>
      <c r="UNM4" s="564"/>
      <c r="UNN4" s="564"/>
      <c r="UNO4" s="564"/>
      <c r="UNP4" s="564"/>
      <c r="UNQ4" s="564"/>
      <c r="UNR4" s="564"/>
      <c r="UNS4" s="564"/>
      <c r="UNT4" s="564"/>
      <c r="UNU4" s="564"/>
      <c r="UNV4" s="564"/>
      <c r="UNW4" s="564"/>
      <c r="UNX4" s="564"/>
      <c r="UNY4" s="564"/>
      <c r="UNZ4" s="564"/>
      <c r="UOA4" s="564"/>
      <c r="UOB4" s="564"/>
      <c r="UOC4" s="564"/>
      <c r="UOD4" s="564"/>
      <c r="UOE4" s="564"/>
      <c r="UOF4" s="564"/>
      <c r="UOG4" s="564"/>
      <c r="UOH4" s="564"/>
      <c r="UOI4" s="564"/>
      <c r="UOJ4" s="564"/>
      <c r="UOK4" s="564"/>
      <c r="UOL4" s="564"/>
      <c r="UOM4" s="564"/>
      <c r="UON4" s="564"/>
      <c r="UOO4" s="564"/>
      <c r="UOP4" s="564"/>
      <c r="UOQ4" s="564"/>
      <c r="UOR4" s="564"/>
      <c r="UOS4" s="564"/>
      <c r="UOT4" s="564"/>
      <c r="UOU4" s="564"/>
      <c r="UOV4" s="564"/>
      <c r="UOW4" s="564"/>
      <c r="UOX4" s="564"/>
      <c r="UOY4" s="564"/>
      <c r="UOZ4" s="564"/>
      <c r="UPA4" s="564"/>
      <c r="UPB4" s="564"/>
      <c r="UPC4" s="564"/>
      <c r="UPD4" s="564"/>
      <c r="UPE4" s="564"/>
      <c r="UPF4" s="564"/>
      <c r="UPG4" s="564"/>
      <c r="UPH4" s="564"/>
      <c r="UPI4" s="564"/>
      <c r="UPJ4" s="564"/>
      <c r="UPK4" s="564"/>
      <c r="UPL4" s="564"/>
      <c r="UPM4" s="564"/>
      <c r="UPN4" s="564"/>
      <c r="UPO4" s="564"/>
      <c r="UPP4" s="564"/>
      <c r="UPQ4" s="564"/>
      <c r="UPR4" s="564"/>
      <c r="UPS4" s="564"/>
      <c r="UPT4" s="564"/>
      <c r="UPU4" s="564"/>
      <c r="UPV4" s="564"/>
      <c r="UPW4" s="564"/>
      <c r="UPX4" s="564"/>
      <c r="UPY4" s="564"/>
      <c r="UPZ4" s="564"/>
      <c r="UQA4" s="564"/>
      <c r="UQB4" s="564"/>
      <c r="UQC4" s="564"/>
      <c r="UQD4" s="564"/>
      <c r="UQE4" s="564"/>
      <c r="UQF4" s="564"/>
      <c r="UQG4" s="564"/>
      <c r="UQH4" s="564"/>
      <c r="UQI4" s="564"/>
      <c r="UQJ4" s="564"/>
      <c r="UQK4" s="564"/>
      <c r="UQL4" s="564"/>
      <c r="UQM4" s="564"/>
      <c r="UQN4" s="564"/>
      <c r="UQO4" s="564"/>
      <c r="UQP4" s="564"/>
      <c r="UQQ4" s="564"/>
      <c r="UQR4" s="564"/>
      <c r="UQS4" s="564"/>
      <c r="UQT4" s="564"/>
      <c r="UQU4" s="564"/>
      <c r="UQV4" s="564"/>
      <c r="UQW4" s="564"/>
      <c r="UQX4" s="564"/>
      <c r="UQY4" s="564"/>
      <c r="UQZ4" s="564"/>
      <c r="URA4" s="564"/>
      <c r="URB4" s="564"/>
      <c r="URC4" s="564"/>
      <c r="URD4" s="564"/>
      <c r="URE4" s="564"/>
      <c r="URF4" s="564"/>
      <c r="URG4" s="564"/>
      <c r="URH4" s="564"/>
      <c r="URI4" s="564"/>
      <c r="URJ4" s="564"/>
      <c r="URK4" s="564"/>
      <c r="URL4" s="564"/>
      <c r="URM4" s="564"/>
      <c r="URN4" s="564"/>
      <c r="URO4" s="564"/>
      <c r="URP4" s="564"/>
      <c r="URQ4" s="564"/>
      <c r="URR4" s="564"/>
      <c r="URS4" s="564"/>
      <c r="URT4" s="564"/>
      <c r="URU4" s="564"/>
      <c r="URV4" s="564"/>
      <c r="URW4" s="564"/>
      <c r="URX4" s="564"/>
      <c r="URY4" s="564"/>
      <c r="URZ4" s="564"/>
      <c r="USA4" s="564"/>
      <c r="USB4" s="564"/>
      <c r="USC4" s="564"/>
      <c r="USD4" s="564"/>
      <c r="USE4" s="564"/>
      <c r="USF4" s="564"/>
      <c r="USG4" s="564"/>
      <c r="USH4" s="564"/>
      <c r="USI4" s="564"/>
      <c r="USJ4" s="564"/>
      <c r="USK4" s="564"/>
      <c r="USL4" s="564"/>
      <c r="USM4" s="564"/>
      <c r="USN4" s="564"/>
      <c r="USO4" s="564"/>
      <c r="USP4" s="564"/>
      <c r="USQ4" s="564"/>
      <c r="USR4" s="564"/>
      <c r="USS4" s="564"/>
      <c r="UST4" s="564"/>
      <c r="USU4" s="564"/>
      <c r="USV4" s="564"/>
      <c r="USW4" s="564"/>
      <c r="USX4" s="564"/>
      <c r="USY4" s="564"/>
      <c r="USZ4" s="564"/>
      <c r="UTA4" s="564"/>
      <c r="UTB4" s="564"/>
      <c r="UTC4" s="564"/>
      <c r="UTD4" s="564"/>
      <c r="UTE4" s="564"/>
      <c r="UTF4" s="564"/>
      <c r="UTG4" s="564"/>
      <c r="UTH4" s="564"/>
      <c r="UTI4" s="564"/>
      <c r="UTJ4" s="564"/>
      <c r="UTK4" s="564"/>
      <c r="UTL4" s="564"/>
      <c r="UTM4" s="564"/>
      <c r="UTN4" s="564"/>
      <c r="UTO4" s="564"/>
      <c r="UTP4" s="564"/>
      <c r="UTQ4" s="564"/>
      <c r="UTR4" s="564"/>
      <c r="UTS4" s="564"/>
      <c r="UTT4" s="564"/>
      <c r="UTU4" s="564"/>
      <c r="UTV4" s="564"/>
      <c r="UTW4" s="564"/>
      <c r="UTX4" s="564"/>
      <c r="UTY4" s="564"/>
      <c r="UTZ4" s="564"/>
      <c r="UUA4" s="564"/>
      <c r="UUB4" s="564"/>
      <c r="UUC4" s="564"/>
      <c r="UUD4" s="564"/>
      <c r="UUE4" s="564"/>
      <c r="UUF4" s="564"/>
      <c r="UUG4" s="564"/>
      <c r="UUH4" s="564"/>
      <c r="UUI4" s="564"/>
      <c r="UUJ4" s="564"/>
      <c r="UUK4" s="564"/>
      <c r="UUL4" s="564"/>
      <c r="UUM4" s="564"/>
      <c r="UUN4" s="564"/>
      <c r="UUO4" s="564"/>
      <c r="UUP4" s="564"/>
      <c r="UUQ4" s="564"/>
      <c r="UUR4" s="564"/>
      <c r="UUS4" s="564"/>
      <c r="UUT4" s="564"/>
      <c r="UUU4" s="564"/>
      <c r="UUV4" s="564"/>
      <c r="UUW4" s="564"/>
      <c r="UUX4" s="564"/>
      <c r="UUY4" s="564"/>
      <c r="UUZ4" s="564"/>
      <c r="UVA4" s="564"/>
      <c r="UVB4" s="564"/>
      <c r="UVC4" s="564"/>
      <c r="UVD4" s="564"/>
      <c r="UVE4" s="564"/>
      <c r="UVF4" s="564"/>
      <c r="UVG4" s="564"/>
      <c r="UVH4" s="564"/>
      <c r="UVI4" s="564"/>
      <c r="UVJ4" s="564"/>
      <c r="UVK4" s="564"/>
      <c r="UVL4" s="564"/>
      <c r="UVM4" s="564"/>
      <c r="UVN4" s="564"/>
      <c r="UVO4" s="564"/>
      <c r="UVP4" s="564"/>
      <c r="UVQ4" s="564"/>
      <c r="UVR4" s="564"/>
      <c r="UVS4" s="564"/>
      <c r="UVT4" s="564"/>
      <c r="UVU4" s="564"/>
      <c r="UVV4" s="564"/>
      <c r="UVW4" s="564"/>
      <c r="UVX4" s="564"/>
      <c r="UVY4" s="564"/>
      <c r="UVZ4" s="564"/>
      <c r="UWA4" s="564"/>
      <c r="UWB4" s="564"/>
      <c r="UWC4" s="564"/>
      <c r="UWD4" s="564"/>
      <c r="UWE4" s="564"/>
      <c r="UWF4" s="564"/>
      <c r="UWG4" s="564"/>
      <c r="UWH4" s="564"/>
      <c r="UWI4" s="564"/>
      <c r="UWJ4" s="564"/>
      <c r="UWK4" s="564"/>
      <c r="UWL4" s="564"/>
      <c r="UWM4" s="564"/>
      <c r="UWN4" s="564"/>
      <c r="UWO4" s="564"/>
      <c r="UWP4" s="564"/>
      <c r="UWQ4" s="564"/>
      <c r="UWR4" s="564"/>
      <c r="UWS4" s="564"/>
      <c r="UWT4" s="564"/>
      <c r="UWU4" s="564"/>
      <c r="UWV4" s="564"/>
      <c r="UWW4" s="564"/>
      <c r="UWX4" s="564"/>
      <c r="UWY4" s="564"/>
      <c r="UWZ4" s="564"/>
      <c r="UXA4" s="564"/>
      <c r="UXB4" s="564"/>
      <c r="UXC4" s="564"/>
      <c r="UXD4" s="564"/>
      <c r="UXE4" s="564"/>
      <c r="UXF4" s="564"/>
      <c r="UXG4" s="564"/>
      <c r="UXH4" s="564"/>
      <c r="UXI4" s="564"/>
      <c r="UXJ4" s="564"/>
      <c r="UXK4" s="564"/>
      <c r="UXL4" s="564"/>
      <c r="UXM4" s="564"/>
      <c r="UXN4" s="564"/>
      <c r="UXO4" s="564"/>
      <c r="UXP4" s="564"/>
      <c r="UXQ4" s="564"/>
      <c r="UXR4" s="564"/>
      <c r="UXS4" s="564"/>
      <c r="UXT4" s="564"/>
      <c r="UXU4" s="564"/>
      <c r="UXV4" s="564"/>
      <c r="UXW4" s="564"/>
      <c r="UXX4" s="564"/>
      <c r="UXY4" s="564"/>
      <c r="UXZ4" s="564"/>
      <c r="UYA4" s="564"/>
      <c r="UYB4" s="564"/>
      <c r="UYC4" s="564"/>
      <c r="UYD4" s="564"/>
      <c r="UYE4" s="564"/>
      <c r="UYF4" s="564"/>
      <c r="UYG4" s="564"/>
      <c r="UYH4" s="564"/>
      <c r="UYI4" s="564"/>
      <c r="UYJ4" s="564"/>
      <c r="UYK4" s="564"/>
      <c r="UYL4" s="564"/>
      <c r="UYM4" s="564"/>
      <c r="UYN4" s="564"/>
      <c r="UYO4" s="564"/>
      <c r="UYP4" s="564"/>
      <c r="UYQ4" s="564"/>
      <c r="UYR4" s="564"/>
      <c r="UYS4" s="564"/>
      <c r="UYT4" s="564"/>
      <c r="UYU4" s="564"/>
      <c r="UYV4" s="564"/>
      <c r="UYW4" s="564"/>
      <c r="UYX4" s="564"/>
      <c r="UYY4" s="564"/>
      <c r="UYZ4" s="564"/>
      <c r="UZA4" s="564"/>
      <c r="UZB4" s="564"/>
      <c r="UZC4" s="564"/>
      <c r="UZD4" s="564"/>
      <c r="UZE4" s="564"/>
      <c r="UZF4" s="564"/>
      <c r="UZG4" s="564"/>
      <c r="UZH4" s="564"/>
      <c r="UZI4" s="564"/>
      <c r="UZJ4" s="564"/>
      <c r="UZK4" s="564"/>
      <c r="UZL4" s="564"/>
      <c r="UZM4" s="564"/>
      <c r="UZN4" s="564"/>
      <c r="UZO4" s="564"/>
      <c r="UZP4" s="564"/>
      <c r="UZQ4" s="564"/>
      <c r="UZR4" s="564"/>
      <c r="UZS4" s="564"/>
      <c r="UZT4" s="564"/>
      <c r="UZU4" s="564"/>
      <c r="UZV4" s="564"/>
      <c r="UZW4" s="564"/>
      <c r="UZX4" s="564"/>
      <c r="UZY4" s="564"/>
      <c r="UZZ4" s="564"/>
      <c r="VAA4" s="564"/>
      <c r="VAB4" s="564"/>
      <c r="VAC4" s="564"/>
      <c r="VAD4" s="564"/>
      <c r="VAE4" s="564"/>
      <c r="VAF4" s="564"/>
      <c r="VAG4" s="564"/>
      <c r="VAH4" s="564"/>
      <c r="VAI4" s="564"/>
      <c r="VAJ4" s="564"/>
      <c r="VAK4" s="564"/>
      <c r="VAL4" s="564"/>
      <c r="VAM4" s="564"/>
      <c r="VAN4" s="564"/>
      <c r="VAO4" s="564"/>
      <c r="VAP4" s="564"/>
      <c r="VAQ4" s="564"/>
      <c r="VAR4" s="564"/>
      <c r="VAS4" s="564"/>
      <c r="VAT4" s="564"/>
      <c r="VAU4" s="564"/>
      <c r="VAV4" s="564"/>
      <c r="VAW4" s="564"/>
      <c r="VAX4" s="564"/>
      <c r="VAY4" s="564"/>
      <c r="VAZ4" s="564"/>
      <c r="VBA4" s="564"/>
      <c r="VBB4" s="564"/>
      <c r="VBC4" s="564"/>
      <c r="VBD4" s="564"/>
      <c r="VBE4" s="564"/>
      <c r="VBF4" s="564"/>
      <c r="VBG4" s="564"/>
      <c r="VBH4" s="564"/>
      <c r="VBI4" s="564"/>
      <c r="VBJ4" s="564"/>
      <c r="VBK4" s="564"/>
      <c r="VBL4" s="564"/>
      <c r="VBM4" s="564"/>
      <c r="VBN4" s="564"/>
      <c r="VBO4" s="564"/>
      <c r="VBP4" s="564"/>
      <c r="VBQ4" s="564"/>
      <c r="VBR4" s="564"/>
      <c r="VBS4" s="564"/>
      <c r="VBT4" s="564"/>
      <c r="VBU4" s="564"/>
      <c r="VBV4" s="564"/>
      <c r="VBW4" s="564"/>
      <c r="VBX4" s="564"/>
      <c r="VBY4" s="564"/>
      <c r="VBZ4" s="564"/>
      <c r="VCA4" s="564"/>
      <c r="VCB4" s="564"/>
      <c r="VCC4" s="564"/>
      <c r="VCD4" s="564"/>
      <c r="VCE4" s="564"/>
      <c r="VCF4" s="564"/>
      <c r="VCG4" s="564"/>
      <c r="VCH4" s="564"/>
      <c r="VCI4" s="564"/>
      <c r="VCJ4" s="564"/>
      <c r="VCK4" s="564"/>
      <c r="VCL4" s="564"/>
      <c r="VCM4" s="564"/>
      <c r="VCN4" s="564"/>
      <c r="VCO4" s="564"/>
      <c r="VCP4" s="564"/>
      <c r="VCQ4" s="564"/>
      <c r="VCR4" s="564"/>
      <c r="VCS4" s="564"/>
      <c r="VCT4" s="564"/>
      <c r="VCU4" s="564"/>
      <c r="VCV4" s="564"/>
      <c r="VCW4" s="564"/>
      <c r="VCX4" s="564"/>
      <c r="VCY4" s="564"/>
      <c r="VCZ4" s="564"/>
      <c r="VDA4" s="564"/>
      <c r="VDB4" s="564"/>
      <c r="VDC4" s="564"/>
      <c r="VDD4" s="564"/>
      <c r="VDE4" s="564"/>
      <c r="VDF4" s="564"/>
      <c r="VDG4" s="564"/>
      <c r="VDH4" s="564"/>
      <c r="VDI4" s="564"/>
      <c r="VDJ4" s="564"/>
      <c r="VDK4" s="564"/>
      <c r="VDL4" s="564"/>
      <c r="VDM4" s="564"/>
      <c r="VDN4" s="564"/>
      <c r="VDO4" s="564"/>
      <c r="VDP4" s="564"/>
      <c r="VDQ4" s="564"/>
      <c r="VDR4" s="564"/>
      <c r="VDS4" s="564"/>
      <c r="VDT4" s="564"/>
      <c r="VDU4" s="564"/>
      <c r="VDV4" s="564"/>
      <c r="VDW4" s="564"/>
      <c r="VDX4" s="564"/>
      <c r="VDY4" s="564"/>
      <c r="VDZ4" s="564"/>
      <c r="VEA4" s="564"/>
      <c r="VEB4" s="564"/>
      <c r="VEC4" s="564"/>
      <c r="VED4" s="564"/>
      <c r="VEE4" s="564"/>
      <c r="VEF4" s="564"/>
      <c r="VEG4" s="564"/>
      <c r="VEH4" s="564"/>
      <c r="VEI4" s="564"/>
      <c r="VEJ4" s="564"/>
      <c r="VEK4" s="564"/>
      <c r="VEL4" s="564"/>
      <c r="VEM4" s="564"/>
      <c r="VEN4" s="564"/>
      <c r="VEO4" s="564"/>
      <c r="VEP4" s="564"/>
      <c r="VEQ4" s="564"/>
      <c r="VER4" s="564"/>
      <c r="VES4" s="564"/>
      <c r="VET4" s="564"/>
      <c r="VEU4" s="564"/>
      <c r="VEV4" s="564"/>
      <c r="VEW4" s="564"/>
      <c r="VEX4" s="564"/>
      <c r="VEY4" s="564"/>
      <c r="VEZ4" s="564"/>
      <c r="VFA4" s="564"/>
      <c r="VFB4" s="564"/>
      <c r="VFC4" s="564"/>
      <c r="VFD4" s="564"/>
      <c r="VFE4" s="564"/>
      <c r="VFF4" s="564"/>
      <c r="VFG4" s="564"/>
      <c r="VFH4" s="564"/>
      <c r="VFI4" s="564"/>
      <c r="VFJ4" s="564"/>
      <c r="VFK4" s="564"/>
      <c r="VFL4" s="564"/>
      <c r="VFM4" s="564"/>
      <c r="VFN4" s="564"/>
      <c r="VFO4" s="564"/>
      <c r="VFP4" s="564"/>
      <c r="VFQ4" s="564"/>
      <c r="VFR4" s="564"/>
      <c r="VFS4" s="564"/>
      <c r="VFT4" s="564"/>
      <c r="VFU4" s="564"/>
      <c r="VFV4" s="564"/>
      <c r="VFW4" s="564"/>
      <c r="VFX4" s="564"/>
      <c r="VFY4" s="564"/>
      <c r="VFZ4" s="564"/>
      <c r="VGA4" s="564"/>
      <c r="VGB4" s="564"/>
      <c r="VGC4" s="564"/>
      <c r="VGD4" s="564"/>
      <c r="VGE4" s="564"/>
      <c r="VGF4" s="564"/>
      <c r="VGG4" s="564"/>
      <c r="VGH4" s="564"/>
      <c r="VGI4" s="564"/>
      <c r="VGJ4" s="564"/>
      <c r="VGK4" s="564"/>
      <c r="VGL4" s="564"/>
      <c r="VGM4" s="564"/>
      <c r="VGN4" s="564"/>
      <c r="VGO4" s="564"/>
      <c r="VGP4" s="564"/>
      <c r="VGQ4" s="564"/>
      <c r="VGR4" s="564"/>
      <c r="VGS4" s="564"/>
      <c r="VGT4" s="564"/>
      <c r="VGU4" s="564"/>
      <c r="VGV4" s="564"/>
      <c r="VGW4" s="564"/>
      <c r="VGX4" s="564"/>
      <c r="VGY4" s="564"/>
      <c r="VGZ4" s="564"/>
      <c r="VHA4" s="564"/>
      <c r="VHB4" s="564"/>
      <c r="VHC4" s="564"/>
      <c r="VHD4" s="564"/>
      <c r="VHE4" s="564"/>
      <c r="VHF4" s="564"/>
      <c r="VHG4" s="564"/>
      <c r="VHH4" s="564"/>
      <c r="VHI4" s="564"/>
      <c r="VHJ4" s="564"/>
      <c r="VHK4" s="564"/>
      <c r="VHL4" s="564"/>
      <c r="VHM4" s="564"/>
      <c r="VHN4" s="564"/>
      <c r="VHO4" s="564"/>
      <c r="VHP4" s="564"/>
      <c r="VHQ4" s="564"/>
      <c r="VHR4" s="564"/>
      <c r="VHS4" s="564"/>
      <c r="VHT4" s="564"/>
      <c r="VHU4" s="564"/>
      <c r="VHV4" s="564"/>
      <c r="VHW4" s="564"/>
      <c r="VHX4" s="564"/>
      <c r="VHY4" s="564"/>
      <c r="VHZ4" s="564"/>
      <c r="VIA4" s="564"/>
      <c r="VIB4" s="564"/>
      <c r="VIC4" s="564"/>
      <c r="VID4" s="564"/>
      <c r="VIE4" s="564"/>
      <c r="VIF4" s="564"/>
      <c r="VIG4" s="564"/>
      <c r="VIH4" s="564"/>
      <c r="VII4" s="564"/>
      <c r="VIJ4" s="564"/>
      <c r="VIK4" s="564"/>
      <c r="VIL4" s="564"/>
      <c r="VIM4" s="564"/>
      <c r="VIN4" s="564"/>
      <c r="VIO4" s="564"/>
      <c r="VIP4" s="564"/>
      <c r="VIQ4" s="564"/>
      <c r="VIR4" s="564"/>
      <c r="VIS4" s="564"/>
      <c r="VIT4" s="564"/>
      <c r="VIU4" s="564"/>
      <c r="VIV4" s="564"/>
      <c r="VIW4" s="564"/>
      <c r="VIX4" s="564"/>
      <c r="VIY4" s="564"/>
      <c r="VIZ4" s="564"/>
      <c r="VJA4" s="564"/>
      <c r="VJB4" s="564"/>
      <c r="VJC4" s="564"/>
      <c r="VJD4" s="564"/>
      <c r="VJE4" s="564"/>
      <c r="VJF4" s="564"/>
      <c r="VJG4" s="564"/>
      <c r="VJH4" s="564"/>
      <c r="VJI4" s="564"/>
      <c r="VJJ4" s="564"/>
      <c r="VJK4" s="564"/>
      <c r="VJL4" s="564"/>
      <c r="VJM4" s="564"/>
      <c r="VJN4" s="564"/>
      <c r="VJO4" s="564"/>
      <c r="VJP4" s="564"/>
      <c r="VJQ4" s="564"/>
      <c r="VJR4" s="564"/>
      <c r="VJS4" s="564"/>
      <c r="VJT4" s="564"/>
      <c r="VJU4" s="564"/>
      <c r="VJV4" s="564"/>
      <c r="VJW4" s="564"/>
      <c r="VJX4" s="564"/>
      <c r="VJY4" s="564"/>
      <c r="VJZ4" s="564"/>
      <c r="VKA4" s="564"/>
      <c r="VKB4" s="564"/>
      <c r="VKC4" s="564"/>
      <c r="VKD4" s="564"/>
      <c r="VKE4" s="564"/>
      <c r="VKF4" s="564"/>
      <c r="VKG4" s="564"/>
      <c r="VKH4" s="564"/>
      <c r="VKI4" s="564"/>
      <c r="VKJ4" s="564"/>
      <c r="VKK4" s="564"/>
      <c r="VKL4" s="564"/>
      <c r="VKM4" s="564"/>
      <c r="VKN4" s="564"/>
      <c r="VKO4" s="564"/>
      <c r="VKP4" s="564"/>
      <c r="VKQ4" s="564"/>
      <c r="VKR4" s="564"/>
      <c r="VKS4" s="564"/>
      <c r="VKT4" s="564"/>
      <c r="VKU4" s="564"/>
      <c r="VKV4" s="564"/>
      <c r="VKW4" s="564"/>
      <c r="VKX4" s="564"/>
      <c r="VKY4" s="564"/>
      <c r="VKZ4" s="564"/>
      <c r="VLA4" s="564"/>
      <c r="VLB4" s="564"/>
      <c r="VLC4" s="564"/>
      <c r="VLD4" s="564"/>
      <c r="VLE4" s="564"/>
      <c r="VLF4" s="564"/>
      <c r="VLG4" s="564"/>
      <c r="VLH4" s="564"/>
      <c r="VLI4" s="564"/>
      <c r="VLJ4" s="564"/>
      <c r="VLK4" s="564"/>
      <c r="VLL4" s="564"/>
      <c r="VLM4" s="564"/>
      <c r="VLN4" s="564"/>
      <c r="VLO4" s="564"/>
      <c r="VLP4" s="564"/>
      <c r="VLQ4" s="564"/>
      <c r="VLR4" s="564"/>
      <c r="VLS4" s="564"/>
      <c r="VLT4" s="564"/>
      <c r="VLU4" s="564"/>
      <c r="VLV4" s="564"/>
      <c r="VLW4" s="564"/>
      <c r="VLX4" s="564"/>
      <c r="VLY4" s="564"/>
      <c r="VLZ4" s="564"/>
      <c r="VMA4" s="564"/>
      <c r="VMB4" s="564"/>
      <c r="VMC4" s="564"/>
      <c r="VMD4" s="564"/>
      <c r="VME4" s="564"/>
      <c r="VMF4" s="564"/>
      <c r="VMG4" s="564"/>
      <c r="VMH4" s="564"/>
      <c r="VMI4" s="564"/>
      <c r="VMJ4" s="564"/>
      <c r="VMK4" s="564"/>
      <c r="VML4" s="564"/>
      <c r="VMM4" s="564"/>
      <c r="VMN4" s="564"/>
      <c r="VMO4" s="564"/>
      <c r="VMP4" s="564"/>
      <c r="VMQ4" s="564"/>
      <c r="VMR4" s="564"/>
      <c r="VMS4" s="564"/>
      <c r="VMT4" s="564"/>
      <c r="VMU4" s="564"/>
      <c r="VMV4" s="564"/>
      <c r="VMW4" s="564"/>
      <c r="VMX4" s="564"/>
      <c r="VMY4" s="564"/>
      <c r="VMZ4" s="564"/>
      <c r="VNA4" s="564"/>
      <c r="VNB4" s="564"/>
      <c r="VNC4" s="564"/>
      <c r="VND4" s="564"/>
      <c r="VNE4" s="564"/>
      <c r="VNF4" s="564"/>
      <c r="VNG4" s="564"/>
      <c r="VNH4" s="564"/>
      <c r="VNI4" s="564"/>
      <c r="VNJ4" s="564"/>
      <c r="VNK4" s="564"/>
      <c r="VNL4" s="564"/>
      <c r="VNM4" s="564"/>
      <c r="VNN4" s="564"/>
      <c r="VNO4" s="564"/>
      <c r="VNP4" s="564"/>
      <c r="VNQ4" s="564"/>
      <c r="VNR4" s="564"/>
      <c r="VNS4" s="564"/>
      <c r="VNT4" s="564"/>
      <c r="VNU4" s="564"/>
      <c r="VNV4" s="564"/>
      <c r="VNW4" s="564"/>
      <c r="VNX4" s="564"/>
      <c r="VNY4" s="564"/>
      <c r="VNZ4" s="564"/>
      <c r="VOA4" s="564"/>
      <c r="VOB4" s="564"/>
      <c r="VOC4" s="564"/>
      <c r="VOD4" s="564"/>
      <c r="VOE4" s="564"/>
      <c r="VOF4" s="564"/>
      <c r="VOG4" s="564"/>
      <c r="VOH4" s="564"/>
      <c r="VOI4" s="564"/>
      <c r="VOJ4" s="564"/>
      <c r="VOK4" s="564"/>
      <c r="VOL4" s="564"/>
      <c r="VOM4" s="564"/>
      <c r="VON4" s="564"/>
      <c r="VOO4" s="564"/>
      <c r="VOP4" s="564"/>
      <c r="VOQ4" s="564"/>
      <c r="VOR4" s="564"/>
      <c r="VOS4" s="564"/>
      <c r="VOT4" s="564"/>
      <c r="VOU4" s="564"/>
      <c r="VOV4" s="564"/>
      <c r="VOW4" s="564"/>
      <c r="VOX4" s="564"/>
      <c r="VOY4" s="564"/>
      <c r="VOZ4" s="564"/>
      <c r="VPA4" s="564"/>
      <c r="VPB4" s="564"/>
      <c r="VPC4" s="564"/>
      <c r="VPD4" s="564"/>
      <c r="VPE4" s="564"/>
      <c r="VPF4" s="564"/>
      <c r="VPG4" s="564"/>
      <c r="VPH4" s="564"/>
      <c r="VPI4" s="564"/>
      <c r="VPJ4" s="564"/>
      <c r="VPK4" s="564"/>
      <c r="VPL4" s="564"/>
      <c r="VPM4" s="564"/>
      <c r="VPN4" s="564"/>
      <c r="VPO4" s="564"/>
      <c r="VPP4" s="564"/>
      <c r="VPQ4" s="564"/>
      <c r="VPR4" s="564"/>
      <c r="VPS4" s="564"/>
      <c r="VPT4" s="564"/>
      <c r="VPU4" s="564"/>
      <c r="VPV4" s="564"/>
      <c r="VPW4" s="564"/>
      <c r="VPX4" s="564"/>
      <c r="VPY4" s="564"/>
      <c r="VPZ4" s="564"/>
      <c r="VQA4" s="564"/>
      <c r="VQB4" s="564"/>
      <c r="VQC4" s="564"/>
      <c r="VQD4" s="564"/>
      <c r="VQE4" s="564"/>
      <c r="VQF4" s="564"/>
      <c r="VQG4" s="564"/>
      <c r="VQH4" s="564"/>
      <c r="VQI4" s="564"/>
      <c r="VQJ4" s="564"/>
      <c r="VQK4" s="564"/>
      <c r="VQL4" s="564"/>
      <c r="VQM4" s="564"/>
      <c r="VQN4" s="564"/>
      <c r="VQO4" s="564"/>
      <c r="VQP4" s="564"/>
      <c r="VQQ4" s="564"/>
      <c r="VQR4" s="564"/>
      <c r="VQS4" s="564"/>
      <c r="VQT4" s="564"/>
      <c r="VQU4" s="564"/>
      <c r="VQV4" s="564"/>
      <c r="VQW4" s="564"/>
      <c r="VQX4" s="564"/>
      <c r="VQY4" s="564"/>
      <c r="VQZ4" s="564"/>
      <c r="VRA4" s="564"/>
      <c r="VRB4" s="564"/>
      <c r="VRC4" s="564"/>
      <c r="VRD4" s="564"/>
      <c r="VRE4" s="564"/>
      <c r="VRF4" s="564"/>
      <c r="VRG4" s="564"/>
      <c r="VRH4" s="564"/>
      <c r="VRI4" s="564"/>
      <c r="VRJ4" s="564"/>
      <c r="VRK4" s="564"/>
      <c r="VRL4" s="564"/>
      <c r="VRM4" s="564"/>
      <c r="VRN4" s="564"/>
      <c r="VRO4" s="564"/>
      <c r="VRP4" s="564"/>
      <c r="VRQ4" s="564"/>
      <c r="VRR4" s="564"/>
      <c r="VRS4" s="564"/>
      <c r="VRT4" s="564"/>
      <c r="VRU4" s="564"/>
      <c r="VRV4" s="564"/>
      <c r="VRW4" s="564"/>
      <c r="VRX4" s="564"/>
      <c r="VRY4" s="564"/>
      <c r="VRZ4" s="564"/>
      <c r="VSA4" s="564"/>
      <c r="VSB4" s="564"/>
      <c r="VSC4" s="564"/>
      <c r="VSD4" s="564"/>
      <c r="VSE4" s="564"/>
      <c r="VSF4" s="564"/>
      <c r="VSG4" s="564"/>
      <c r="VSH4" s="564"/>
      <c r="VSI4" s="564"/>
      <c r="VSJ4" s="564"/>
      <c r="VSK4" s="564"/>
      <c r="VSL4" s="564"/>
      <c r="VSM4" s="564"/>
      <c r="VSN4" s="564"/>
      <c r="VSO4" s="564"/>
      <c r="VSP4" s="564"/>
      <c r="VSQ4" s="564"/>
      <c r="VSR4" s="564"/>
      <c r="VSS4" s="564"/>
      <c r="VST4" s="564"/>
      <c r="VSU4" s="564"/>
      <c r="VSV4" s="564"/>
      <c r="VSW4" s="564"/>
      <c r="VSX4" s="564"/>
      <c r="VSY4" s="564"/>
      <c r="VSZ4" s="564"/>
      <c r="VTA4" s="564"/>
      <c r="VTB4" s="564"/>
      <c r="VTC4" s="564"/>
      <c r="VTD4" s="564"/>
      <c r="VTE4" s="564"/>
      <c r="VTF4" s="564"/>
      <c r="VTG4" s="564"/>
      <c r="VTH4" s="564"/>
      <c r="VTI4" s="564"/>
      <c r="VTJ4" s="564"/>
      <c r="VTK4" s="564"/>
      <c r="VTL4" s="564"/>
      <c r="VTM4" s="564"/>
      <c r="VTN4" s="564"/>
      <c r="VTO4" s="564"/>
      <c r="VTP4" s="564"/>
      <c r="VTQ4" s="564"/>
      <c r="VTR4" s="564"/>
      <c r="VTS4" s="564"/>
      <c r="VTT4" s="564"/>
      <c r="VTU4" s="564"/>
      <c r="VTV4" s="564"/>
      <c r="VTW4" s="564"/>
      <c r="VTX4" s="564"/>
      <c r="VTY4" s="564"/>
      <c r="VTZ4" s="564"/>
      <c r="VUA4" s="564"/>
      <c r="VUB4" s="564"/>
      <c r="VUC4" s="564"/>
      <c r="VUD4" s="564"/>
      <c r="VUE4" s="564"/>
      <c r="VUF4" s="564"/>
      <c r="VUG4" s="564"/>
      <c r="VUH4" s="564"/>
      <c r="VUI4" s="564"/>
      <c r="VUJ4" s="564"/>
      <c r="VUK4" s="564"/>
      <c r="VUL4" s="564"/>
      <c r="VUM4" s="564"/>
      <c r="VUN4" s="564"/>
      <c r="VUO4" s="564"/>
      <c r="VUP4" s="564"/>
      <c r="VUQ4" s="564"/>
      <c r="VUR4" s="564"/>
      <c r="VUS4" s="564"/>
      <c r="VUT4" s="564"/>
      <c r="VUU4" s="564"/>
      <c r="VUV4" s="564"/>
      <c r="VUW4" s="564"/>
      <c r="VUX4" s="564"/>
      <c r="VUY4" s="564"/>
      <c r="VUZ4" s="564"/>
      <c r="VVA4" s="564"/>
      <c r="VVB4" s="564"/>
      <c r="VVC4" s="564"/>
      <c r="VVD4" s="564"/>
      <c r="VVE4" s="564"/>
      <c r="VVF4" s="564"/>
      <c r="VVG4" s="564"/>
      <c r="VVH4" s="564"/>
      <c r="VVI4" s="564"/>
      <c r="VVJ4" s="564"/>
      <c r="VVK4" s="564"/>
      <c r="VVL4" s="564"/>
      <c r="VVM4" s="564"/>
      <c r="VVN4" s="564"/>
      <c r="VVO4" s="564"/>
      <c r="VVP4" s="564"/>
      <c r="VVQ4" s="564"/>
      <c r="VVR4" s="564"/>
      <c r="VVS4" s="564"/>
      <c r="VVT4" s="564"/>
      <c r="VVU4" s="564"/>
      <c r="VVV4" s="564"/>
      <c r="VVW4" s="564"/>
      <c r="VVX4" s="564"/>
      <c r="VVY4" s="564"/>
      <c r="VVZ4" s="564"/>
      <c r="VWA4" s="564"/>
      <c r="VWB4" s="564"/>
      <c r="VWC4" s="564"/>
      <c r="VWD4" s="564"/>
      <c r="VWE4" s="564"/>
      <c r="VWF4" s="564"/>
      <c r="VWG4" s="564"/>
      <c r="VWH4" s="564"/>
      <c r="VWI4" s="564"/>
      <c r="VWJ4" s="564"/>
      <c r="VWK4" s="564"/>
      <c r="VWL4" s="564"/>
      <c r="VWM4" s="564"/>
      <c r="VWN4" s="564"/>
      <c r="VWO4" s="564"/>
      <c r="VWP4" s="564"/>
      <c r="VWQ4" s="564"/>
      <c r="VWR4" s="564"/>
      <c r="VWS4" s="564"/>
      <c r="VWT4" s="564"/>
      <c r="VWU4" s="564"/>
      <c r="VWV4" s="564"/>
      <c r="VWW4" s="564"/>
      <c r="VWX4" s="564"/>
      <c r="VWY4" s="564"/>
      <c r="VWZ4" s="564"/>
      <c r="VXA4" s="564"/>
      <c r="VXB4" s="564"/>
      <c r="VXC4" s="564"/>
      <c r="VXD4" s="564"/>
      <c r="VXE4" s="564"/>
      <c r="VXF4" s="564"/>
      <c r="VXG4" s="564"/>
      <c r="VXH4" s="564"/>
      <c r="VXI4" s="564"/>
      <c r="VXJ4" s="564"/>
      <c r="VXK4" s="564"/>
      <c r="VXL4" s="564"/>
      <c r="VXM4" s="564"/>
      <c r="VXN4" s="564"/>
      <c r="VXO4" s="564"/>
      <c r="VXP4" s="564"/>
      <c r="VXQ4" s="564"/>
      <c r="VXR4" s="564"/>
      <c r="VXS4" s="564"/>
      <c r="VXT4" s="564"/>
      <c r="VXU4" s="564"/>
      <c r="VXV4" s="564"/>
      <c r="VXW4" s="564"/>
      <c r="VXX4" s="564"/>
      <c r="VXY4" s="564"/>
      <c r="VXZ4" s="564"/>
      <c r="VYA4" s="564"/>
      <c r="VYB4" s="564"/>
      <c r="VYC4" s="564"/>
      <c r="VYD4" s="564"/>
      <c r="VYE4" s="564"/>
      <c r="VYF4" s="564"/>
      <c r="VYG4" s="564"/>
      <c r="VYH4" s="564"/>
      <c r="VYI4" s="564"/>
      <c r="VYJ4" s="564"/>
      <c r="VYK4" s="564"/>
      <c r="VYL4" s="564"/>
      <c r="VYM4" s="564"/>
      <c r="VYN4" s="564"/>
      <c r="VYO4" s="564"/>
      <c r="VYP4" s="564"/>
      <c r="VYQ4" s="564"/>
      <c r="VYR4" s="564"/>
      <c r="VYS4" s="564"/>
      <c r="VYT4" s="564"/>
      <c r="VYU4" s="564"/>
      <c r="VYV4" s="564"/>
      <c r="VYW4" s="564"/>
      <c r="VYX4" s="564"/>
      <c r="VYY4" s="564"/>
      <c r="VYZ4" s="564"/>
      <c r="VZA4" s="564"/>
      <c r="VZB4" s="564"/>
      <c r="VZC4" s="564"/>
      <c r="VZD4" s="564"/>
      <c r="VZE4" s="564"/>
      <c r="VZF4" s="564"/>
      <c r="VZG4" s="564"/>
      <c r="VZH4" s="564"/>
      <c r="VZI4" s="564"/>
      <c r="VZJ4" s="564"/>
      <c r="VZK4" s="564"/>
      <c r="VZL4" s="564"/>
      <c r="VZM4" s="564"/>
      <c r="VZN4" s="564"/>
      <c r="VZO4" s="564"/>
      <c r="VZP4" s="564"/>
      <c r="VZQ4" s="564"/>
      <c r="VZR4" s="564"/>
      <c r="VZS4" s="564"/>
      <c r="VZT4" s="564"/>
      <c r="VZU4" s="564"/>
      <c r="VZV4" s="564"/>
      <c r="VZW4" s="564"/>
      <c r="VZX4" s="564"/>
      <c r="VZY4" s="564"/>
      <c r="VZZ4" s="564"/>
      <c r="WAA4" s="564"/>
      <c r="WAB4" s="564"/>
      <c r="WAC4" s="564"/>
      <c r="WAD4" s="564"/>
      <c r="WAE4" s="564"/>
      <c r="WAF4" s="564"/>
      <c r="WAG4" s="564"/>
      <c r="WAH4" s="564"/>
      <c r="WAI4" s="564"/>
      <c r="WAJ4" s="564"/>
      <c r="WAK4" s="564"/>
      <c r="WAL4" s="564"/>
      <c r="WAM4" s="564"/>
      <c r="WAN4" s="564"/>
      <c r="WAO4" s="564"/>
      <c r="WAP4" s="564"/>
      <c r="WAQ4" s="564"/>
      <c r="WAR4" s="564"/>
      <c r="WAS4" s="564"/>
      <c r="WAT4" s="564"/>
      <c r="WAU4" s="564"/>
      <c r="WAV4" s="564"/>
      <c r="WAW4" s="564"/>
      <c r="WAX4" s="564"/>
      <c r="WAY4" s="564"/>
      <c r="WAZ4" s="564"/>
      <c r="WBA4" s="564"/>
      <c r="WBB4" s="564"/>
      <c r="WBC4" s="564"/>
      <c r="WBD4" s="564"/>
      <c r="WBE4" s="564"/>
      <c r="WBF4" s="564"/>
      <c r="WBG4" s="564"/>
      <c r="WBH4" s="564"/>
      <c r="WBI4" s="564"/>
      <c r="WBJ4" s="564"/>
      <c r="WBK4" s="564"/>
      <c r="WBL4" s="564"/>
      <c r="WBM4" s="564"/>
      <c r="WBN4" s="564"/>
      <c r="WBO4" s="564"/>
      <c r="WBP4" s="564"/>
      <c r="WBQ4" s="564"/>
      <c r="WBR4" s="564"/>
      <c r="WBS4" s="564"/>
      <c r="WBT4" s="564"/>
      <c r="WBU4" s="564"/>
      <c r="WBV4" s="564"/>
      <c r="WBW4" s="564"/>
      <c r="WBX4" s="564"/>
      <c r="WBY4" s="564"/>
      <c r="WBZ4" s="564"/>
      <c r="WCA4" s="564"/>
      <c r="WCB4" s="564"/>
      <c r="WCC4" s="564"/>
      <c r="WCD4" s="564"/>
      <c r="WCE4" s="564"/>
      <c r="WCF4" s="564"/>
      <c r="WCG4" s="564"/>
      <c r="WCH4" s="564"/>
      <c r="WCI4" s="564"/>
      <c r="WCJ4" s="564"/>
      <c r="WCK4" s="564"/>
      <c r="WCL4" s="564"/>
      <c r="WCM4" s="564"/>
      <c r="WCN4" s="564"/>
      <c r="WCO4" s="564"/>
      <c r="WCP4" s="564"/>
      <c r="WCQ4" s="564"/>
      <c r="WCR4" s="564"/>
      <c r="WCS4" s="564"/>
      <c r="WCT4" s="564"/>
      <c r="WCU4" s="564"/>
      <c r="WCV4" s="564"/>
      <c r="WCW4" s="564"/>
      <c r="WCX4" s="564"/>
      <c r="WCY4" s="564"/>
      <c r="WCZ4" s="564"/>
      <c r="WDA4" s="564"/>
      <c r="WDB4" s="564"/>
      <c r="WDC4" s="564"/>
      <c r="WDD4" s="564"/>
      <c r="WDE4" s="564"/>
      <c r="WDF4" s="564"/>
      <c r="WDG4" s="564"/>
      <c r="WDH4" s="564"/>
      <c r="WDI4" s="564"/>
      <c r="WDJ4" s="564"/>
      <c r="WDK4" s="564"/>
      <c r="WDL4" s="564"/>
      <c r="WDM4" s="564"/>
      <c r="WDN4" s="564"/>
      <c r="WDO4" s="564"/>
      <c r="WDP4" s="564"/>
      <c r="WDQ4" s="564"/>
      <c r="WDR4" s="564"/>
      <c r="WDS4" s="564"/>
      <c r="WDT4" s="564"/>
      <c r="WDU4" s="564"/>
      <c r="WDV4" s="564"/>
      <c r="WDW4" s="564"/>
      <c r="WDX4" s="564"/>
      <c r="WDY4" s="564"/>
      <c r="WDZ4" s="564"/>
      <c r="WEA4" s="564"/>
      <c r="WEB4" s="564"/>
      <c r="WEC4" s="564"/>
      <c r="WED4" s="564"/>
      <c r="WEE4" s="564"/>
      <c r="WEF4" s="564"/>
      <c r="WEG4" s="564"/>
      <c r="WEH4" s="564"/>
      <c r="WEI4" s="564"/>
      <c r="WEJ4" s="564"/>
      <c r="WEK4" s="564"/>
      <c r="WEL4" s="564"/>
      <c r="WEM4" s="564"/>
      <c r="WEN4" s="564"/>
      <c r="WEO4" s="564"/>
      <c r="WEP4" s="564"/>
      <c r="WEQ4" s="564"/>
      <c r="WER4" s="564"/>
      <c r="WES4" s="564"/>
      <c r="WET4" s="564"/>
      <c r="WEU4" s="564"/>
      <c r="WEV4" s="564"/>
      <c r="WEW4" s="564"/>
      <c r="WEX4" s="564"/>
      <c r="WEY4" s="564"/>
      <c r="WEZ4" s="564"/>
      <c r="WFA4" s="564"/>
      <c r="WFB4" s="564"/>
      <c r="WFC4" s="564"/>
      <c r="WFD4" s="564"/>
      <c r="WFE4" s="564"/>
      <c r="WFF4" s="564"/>
      <c r="WFG4" s="564"/>
      <c r="WFH4" s="564"/>
      <c r="WFI4" s="564"/>
      <c r="WFJ4" s="564"/>
      <c r="WFK4" s="564"/>
      <c r="WFL4" s="564"/>
      <c r="WFM4" s="564"/>
      <c r="WFN4" s="564"/>
      <c r="WFO4" s="564"/>
      <c r="WFP4" s="564"/>
      <c r="WFQ4" s="564"/>
      <c r="WFR4" s="564"/>
      <c r="WFS4" s="564"/>
      <c r="WFT4" s="564"/>
      <c r="WFU4" s="564"/>
      <c r="WFV4" s="564"/>
      <c r="WFW4" s="564"/>
      <c r="WFX4" s="564"/>
      <c r="WFY4" s="564"/>
      <c r="WFZ4" s="564"/>
      <c r="WGA4" s="564"/>
      <c r="WGB4" s="564"/>
      <c r="WGC4" s="564"/>
      <c r="WGD4" s="564"/>
      <c r="WGE4" s="564"/>
      <c r="WGF4" s="564"/>
      <c r="WGG4" s="564"/>
      <c r="WGH4" s="564"/>
      <c r="WGI4" s="564"/>
      <c r="WGJ4" s="564"/>
      <c r="WGK4" s="564"/>
      <c r="WGL4" s="564"/>
      <c r="WGM4" s="564"/>
      <c r="WGN4" s="564"/>
      <c r="WGO4" s="564"/>
      <c r="WGP4" s="564"/>
      <c r="WGQ4" s="564"/>
      <c r="WGR4" s="564"/>
      <c r="WGS4" s="564"/>
      <c r="WGT4" s="564"/>
      <c r="WGU4" s="564"/>
      <c r="WGV4" s="564"/>
      <c r="WGW4" s="564"/>
      <c r="WGX4" s="564"/>
      <c r="WGY4" s="564"/>
      <c r="WGZ4" s="564"/>
      <c r="WHA4" s="564"/>
      <c r="WHB4" s="564"/>
      <c r="WHC4" s="564"/>
      <c r="WHD4" s="564"/>
      <c r="WHE4" s="564"/>
      <c r="WHF4" s="564"/>
      <c r="WHG4" s="564"/>
      <c r="WHH4" s="564"/>
      <c r="WHI4" s="564"/>
      <c r="WHJ4" s="564"/>
      <c r="WHK4" s="564"/>
      <c r="WHL4" s="564"/>
      <c r="WHM4" s="564"/>
      <c r="WHN4" s="564"/>
      <c r="WHO4" s="564"/>
      <c r="WHP4" s="564"/>
      <c r="WHQ4" s="564"/>
      <c r="WHR4" s="564"/>
      <c r="WHS4" s="564"/>
      <c r="WHT4" s="564"/>
      <c r="WHU4" s="564"/>
      <c r="WHV4" s="564"/>
      <c r="WHW4" s="564"/>
      <c r="WHX4" s="564"/>
      <c r="WHY4" s="564"/>
      <c r="WHZ4" s="564"/>
      <c r="WIA4" s="564"/>
      <c r="WIB4" s="564"/>
      <c r="WIC4" s="564"/>
      <c r="WID4" s="564"/>
      <c r="WIE4" s="564"/>
      <c r="WIF4" s="564"/>
      <c r="WIG4" s="564"/>
      <c r="WIH4" s="564"/>
      <c r="WII4" s="564"/>
      <c r="WIJ4" s="564"/>
      <c r="WIK4" s="564"/>
      <c r="WIL4" s="564"/>
      <c r="WIM4" s="564"/>
      <c r="WIN4" s="564"/>
      <c r="WIO4" s="564"/>
      <c r="WIP4" s="564"/>
      <c r="WIQ4" s="564"/>
      <c r="WIR4" s="564"/>
      <c r="WIS4" s="564"/>
      <c r="WIT4" s="564"/>
      <c r="WIU4" s="564"/>
      <c r="WIV4" s="564"/>
      <c r="WIW4" s="564"/>
      <c r="WIX4" s="564"/>
      <c r="WIY4" s="564"/>
      <c r="WIZ4" s="564"/>
      <c r="WJA4" s="564"/>
      <c r="WJB4" s="564"/>
      <c r="WJC4" s="564"/>
      <c r="WJD4" s="564"/>
      <c r="WJE4" s="564"/>
      <c r="WJF4" s="564"/>
      <c r="WJG4" s="564"/>
      <c r="WJH4" s="564"/>
      <c r="WJI4" s="564"/>
      <c r="WJJ4" s="564"/>
      <c r="WJK4" s="564"/>
      <c r="WJL4" s="564"/>
      <c r="WJM4" s="564"/>
      <c r="WJN4" s="564"/>
      <c r="WJO4" s="564"/>
      <c r="WJP4" s="564"/>
      <c r="WJQ4" s="564"/>
      <c r="WJR4" s="564"/>
      <c r="WJS4" s="564"/>
      <c r="WJT4" s="564"/>
      <c r="WJU4" s="564"/>
      <c r="WJV4" s="564"/>
      <c r="WJW4" s="564"/>
      <c r="WJX4" s="564"/>
      <c r="WJY4" s="564"/>
      <c r="WJZ4" s="564"/>
      <c r="WKA4" s="564"/>
      <c r="WKB4" s="564"/>
      <c r="WKC4" s="564"/>
      <c r="WKD4" s="564"/>
      <c r="WKE4" s="564"/>
      <c r="WKF4" s="564"/>
      <c r="WKG4" s="564"/>
      <c r="WKH4" s="564"/>
      <c r="WKI4" s="564"/>
      <c r="WKJ4" s="564"/>
      <c r="WKK4" s="564"/>
      <c r="WKL4" s="564"/>
      <c r="WKM4" s="564"/>
      <c r="WKN4" s="564"/>
      <c r="WKO4" s="564"/>
      <c r="WKP4" s="564"/>
      <c r="WKQ4" s="564"/>
      <c r="WKR4" s="564"/>
      <c r="WKS4" s="564"/>
      <c r="WKT4" s="564"/>
      <c r="WKU4" s="564"/>
      <c r="WKV4" s="564"/>
      <c r="WKW4" s="564"/>
      <c r="WKX4" s="564"/>
      <c r="WKY4" s="564"/>
      <c r="WKZ4" s="564"/>
      <c r="WLA4" s="564"/>
      <c r="WLB4" s="564"/>
      <c r="WLC4" s="564"/>
      <c r="WLD4" s="564"/>
      <c r="WLE4" s="564"/>
      <c r="WLF4" s="564"/>
      <c r="WLG4" s="564"/>
      <c r="WLH4" s="564"/>
      <c r="WLI4" s="564"/>
      <c r="WLJ4" s="564"/>
      <c r="WLK4" s="564"/>
      <c r="WLL4" s="564"/>
      <c r="WLM4" s="564"/>
      <c r="WLN4" s="564"/>
      <c r="WLO4" s="564"/>
      <c r="WLP4" s="564"/>
      <c r="WLQ4" s="564"/>
      <c r="WLR4" s="564"/>
      <c r="WLS4" s="564"/>
      <c r="WLT4" s="564"/>
      <c r="WLU4" s="564"/>
      <c r="WLV4" s="564"/>
      <c r="WLW4" s="564"/>
      <c r="WLX4" s="564"/>
      <c r="WLY4" s="564"/>
      <c r="WLZ4" s="564"/>
      <c r="WMA4" s="564"/>
      <c r="WMB4" s="564"/>
      <c r="WMC4" s="564"/>
      <c r="WMD4" s="564"/>
      <c r="WME4" s="564"/>
      <c r="WMF4" s="564"/>
      <c r="WMG4" s="564"/>
      <c r="WMH4" s="564"/>
      <c r="WMI4" s="564"/>
      <c r="WMJ4" s="564"/>
      <c r="WMK4" s="564"/>
      <c r="WML4" s="564"/>
      <c r="WMM4" s="564"/>
      <c r="WMN4" s="564"/>
      <c r="WMO4" s="564"/>
      <c r="WMP4" s="564"/>
      <c r="WMQ4" s="564"/>
      <c r="WMR4" s="564"/>
      <c r="WMS4" s="564"/>
      <c r="WMT4" s="564"/>
      <c r="WMU4" s="564"/>
      <c r="WMV4" s="564"/>
      <c r="WMW4" s="564"/>
      <c r="WMX4" s="564"/>
      <c r="WMY4" s="564"/>
      <c r="WMZ4" s="564"/>
      <c r="WNA4" s="564"/>
      <c r="WNB4" s="564"/>
      <c r="WNC4" s="564"/>
      <c r="WND4" s="564"/>
      <c r="WNE4" s="564"/>
      <c r="WNF4" s="564"/>
      <c r="WNG4" s="564"/>
      <c r="WNH4" s="564"/>
      <c r="WNI4" s="564"/>
      <c r="WNJ4" s="564"/>
      <c r="WNK4" s="564"/>
      <c r="WNL4" s="564"/>
      <c r="WNM4" s="564"/>
      <c r="WNN4" s="564"/>
      <c r="WNO4" s="564"/>
      <c r="WNP4" s="564"/>
      <c r="WNQ4" s="564"/>
      <c r="WNR4" s="564"/>
      <c r="WNS4" s="564"/>
      <c r="WNT4" s="564"/>
      <c r="WNU4" s="564"/>
      <c r="WNV4" s="564"/>
      <c r="WNW4" s="564"/>
      <c r="WNX4" s="564"/>
      <c r="WNY4" s="564"/>
      <c r="WNZ4" s="564"/>
      <c r="WOA4" s="564"/>
      <c r="WOB4" s="564"/>
      <c r="WOC4" s="564"/>
      <c r="WOD4" s="564"/>
      <c r="WOE4" s="564"/>
      <c r="WOF4" s="564"/>
      <c r="WOG4" s="564"/>
      <c r="WOH4" s="564"/>
      <c r="WOI4" s="564"/>
      <c r="WOJ4" s="564"/>
      <c r="WOK4" s="564"/>
      <c r="WOL4" s="564"/>
      <c r="WOM4" s="564"/>
      <c r="WON4" s="564"/>
      <c r="WOO4" s="564"/>
      <c r="WOP4" s="564"/>
      <c r="WOQ4" s="564"/>
      <c r="WOR4" s="564"/>
      <c r="WOS4" s="564"/>
      <c r="WOT4" s="564"/>
      <c r="WOU4" s="564"/>
      <c r="WOV4" s="564"/>
      <c r="WOW4" s="564"/>
      <c r="WOX4" s="564"/>
      <c r="WOY4" s="564"/>
      <c r="WOZ4" s="564"/>
      <c r="WPA4" s="564"/>
      <c r="WPB4" s="564"/>
      <c r="WPC4" s="564"/>
      <c r="WPD4" s="564"/>
      <c r="WPE4" s="564"/>
      <c r="WPF4" s="564"/>
      <c r="WPG4" s="564"/>
      <c r="WPH4" s="564"/>
      <c r="WPI4" s="564"/>
      <c r="WPJ4" s="564"/>
      <c r="WPK4" s="564"/>
      <c r="WPL4" s="564"/>
      <c r="WPM4" s="564"/>
      <c r="WPN4" s="564"/>
      <c r="WPO4" s="564"/>
      <c r="WPP4" s="564"/>
      <c r="WPQ4" s="564"/>
      <c r="WPR4" s="564"/>
      <c r="WPS4" s="564"/>
      <c r="WPT4" s="564"/>
      <c r="WPU4" s="564"/>
      <c r="WPV4" s="564"/>
      <c r="WPW4" s="564"/>
      <c r="WPX4" s="564"/>
      <c r="WPY4" s="564"/>
      <c r="WPZ4" s="564"/>
      <c r="WQA4" s="564"/>
      <c r="WQB4" s="564"/>
      <c r="WQC4" s="564"/>
      <c r="WQD4" s="564"/>
      <c r="WQE4" s="564"/>
      <c r="WQF4" s="564"/>
      <c r="WQG4" s="564"/>
      <c r="WQH4" s="564"/>
      <c r="WQI4" s="564"/>
      <c r="WQJ4" s="564"/>
      <c r="WQK4" s="564"/>
      <c r="WQL4" s="564"/>
      <c r="WQM4" s="564"/>
      <c r="WQN4" s="564"/>
      <c r="WQO4" s="564"/>
      <c r="WQP4" s="564"/>
      <c r="WQQ4" s="564"/>
      <c r="WQR4" s="564"/>
      <c r="WQS4" s="564"/>
      <c r="WQT4" s="564"/>
      <c r="WQU4" s="564"/>
      <c r="WQV4" s="564"/>
      <c r="WQW4" s="564"/>
      <c r="WQX4" s="564"/>
      <c r="WQY4" s="564"/>
      <c r="WQZ4" s="564"/>
      <c r="WRA4" s="564"/>
      <c r="WRB4" s="564"/>
      <c r="WRC4" s="564"/>
      <c r="WRD4" s="564"/>
      <c r="WRE4" s="564"/>
      <c r="WRF4" s="564"/>
      <c r="WRG4" s="564"/>
      <c r="WRH4" s="564"/>
      <c r="WRI4" s="564"/>
      <c r="WRJ4" s="564"/>
      <c r="WRK4" s="564"/>
      <c r="WRL4" s="564"/>
      <c r="WRM4" s="564"/>
      <c r="WRN4" s="564"/>
      <c r="WRO4" s="564"/>
      <c r="WRP4" s="564"/>
      <c r="WRQ4" s="564"/>
      <c r="WRR4" s="564"/>
      <c r="WRS4" s="564"/>
      <c r="WRT4" s="564"/>
      <c r="WRU4" s="564"/>
      <c r="WRV4" s="564"/>
      <c r="WRW4" s="564"/>
      <c r="WRX4" s="564"/>
      <c r="WRY4" s="564"/>
      <c r="WRZ4" s="564"/>
      <c r="WSA4" s="564"/>
      <c r="WSB4" s="564"/>
      <c r="WSC4" s="564"/>
      <c r="WSD4" s="564"/>
      <c r="WSE4" s="564"/>
      <c r="WSF4" s="564"/>
      <c r="WSG4" s="564"/>
      <c r="WSH4" s="564"/>
      <c r="WSI4" s="564"/>
      <c r="WSJ4" s="564"/>
      <c r="WSK4" s="564"/>
      <c r="WSL4" s="564"/>
      <c r="WSM4" s="564"/>
      <c r="WSN4" s="564"/>
      <c r="WSO4" s="564"/>
      <c r="WSP4" s="564"/>
      <c r="WSQ4" s="564"/>
      <c r="WSR4" s="564"/>
      <c r="WSS4" s="564"/>
      <c r="WST4" s="564"/>
      <c r="WSU4" s="564"/>
      <c r="WSV4" s="564"/>
      <c r="WSW4" s="564"/>
      <c r="WSX4" s="564"/>
      <c r="WSY4" s="564"/>
      <c r="WSZ4" s="564"/>
      <c r="WTA4" s="564"/>
      <c r="WTB4" s="564"/>
      <c r="WTC4" s="564"/>
      <c r="WTD4" s="564"/>
      <c r="WTE4" s="564"/>
      <c r="WTF4" s="564"/>
      <c r="WTG4" s="564"/>
      <c r="WTH4" s="564"/>
      <c r="WTI4" s="564"/>
      <c r="WTJ4" s="564"/>
      <c r="WTK4" s="564"/>
      <c r="WTL4" s="564"/>
      <c r="WTM4" s="564"/>
      <c r="WTN4" s="564"/>
      <c r="WTO4" s="564"/>
      <c r="WTP4" s="564"/>
      <c r="WTQ4" s="564"/>
      <c r="WTR4" s="564"/>
      <c r="WTS4" s="564"/>
      <c r="WTT4" s="564"/>
      <c r="WTU4" s="564"/>
      <c r="WTV4" s="564"/>
      <c r="WTW4" s="564"/>
      <c r="WTX4" s="564"/>
      <c r="WTY4" s="564"/>
      <c r="WTZ4" s="564"/>
      <c r="WUA4" s="564"/>
      <c r="WUB4" s="564"/>
      <c r="WUC4" s="564"/>
      <c r="WUD4" s="564"/>
      <c r="WUE4" s="564"/>
      <c r="WUF4" s="564"/>
      <c r="WUG4" s="564"/>
      <c r="WUH4" s="564"/>
      <c r="WUI4" s="564"/>
      <c r="WUJ4" s="564"/>
      <c r="WUK4" s="564"/>
      <c r="WUL4" s="564"/>
      <c r="WUM4" s="564"/>
      <c r="WUN4" s="564"/>
      <c r="WUO4" s="564"/>
      <c r="WUP4" s="564"/>
      <c r="WUQ4" s="564"/>
      <c r="WUR4" s="564"/>
      <c r="WUS4" s="564"/>
      <c r="WUT4" s="564"/>
      <c r="WUU4" s="564"/>
      <c r="WUV4" s="564"/>
      <c r="WUW4" s="564"/>
      <c r="WUX4" s="564"/>
      <c r="WUY4" s="564"/>
      <c r="WUZ4" s="564"/>
      <c r="WVA4" s="564"/>
      <c r="WVB4" s="564"/>
      <c r="WVC4" s="564"/>
      <c r="WVD4" s="564"/>
      <c r="WVE4" s="564"/>
      <c r="WVF4" s="564"/>
      <c r="WVG4" s="564"/>
      <c r="WVH4" s="564"/>
      <c r="WVI4" s="564"/>
      <c r="WVJ4" s="564"/>
      <c r="WVK4" s="564"/>
      <c r="WVL4" s="564"/>
      <c r="WVM4" s="564"/>
      <c r="WVN4" s="564"/>
      <c r="WVO4" s="564"/>
      <c r="WVP4" s="564"/>
      <c r="WVQ4" s="564"/>
      <c r="WVR4" s="564"/>
      <c r="WVS4" s="564"/>
      <c r="WVT4" s="564"/>
      <c r="WVU4" s="564"/>
      <c r="WVV4" s="564"/>
      <c r="WVW4" s="564"/>
      <c r="WVX4" s="564"/>
      <c r="WVY4" s="564"/>
      <c r="WVZ4" s="564"/>
      <c r="WWA4" s="564"/>
      <c r="WWB4" s="564"/>
      <c r="WWC4" s="564"/>
      <c r="WWD4" s="564"/>
      <c r="WWE4" s="564"/>
      <c r="WWF4" s="564"/>
      <c r="WWG4" s="564"/>
      <c r="WWH4" s="564"/>
      <c r="WWI4" s="564"/>
      <c r="WWJ4" s="564"/>
      <c r="WWK4" s="564"/>
      <c r="WWL4" s="564"/>
      <c r="WWM4" s="564"/>
      <c r="WWN4" s="564"/>
      <c r="WWO4" s="564"/>
      <c r="WWP4" s="564"/>
      <c r="WWQ4" s="564"/>
      <c r="WWR4" s="564"/>
      <c r="WWS4" s="564"/>
      <c r="WWT4" s="564"/>
      <c r="WWU4" s="564"/>
      <c r="WWV4" s="564"/>
      <c r="WWW4" s="564"/>
      <c r="WWX4" s="564"/>
      <c r="WWY4" s="564"/>
      <c r="WWZ4" s="564"/>
      <c r="WXA4" s="564"/>
      <c r="WXB4" s="564"/>
      <c r="WXC4" s="564"/>
      <c r="WXD4" s="564"/>
      <c r="WXE4" s="564"/>
      <c r="WXF4" s="564"/>
      <c r="WXG4" s="564"/>
      <c r="WXH4" s="564"/>
      <c r="WXI4" s="564"/>
      <c r="WXJ4" s="564"/>
      <c r="WXK4" s="564"/>
      <c r="WXL4" s="564"/>
      <c r="WXM4" s="564"/>
      <c r="WXN4" s="564"/>
      <c r="WXO4" s="564"/>
      <c r="WXP4" s="564"/>
      <c r="WXQ4" s="564"/>
      <c r="WXR4" s="564"/>
      <c r="WXS4" s="564"/>
      <c r="WXT4" s="564"/>
      <c r="WXU4" s="564"/>
      <c r="WXV4" s="564"/>
      <c r="WXW4" s="564"/>
      <c r="WXX4" s="564"/>
      <c r="WXY4" s="564"/>
      <c r="WXZ4" s="564"/>
      <c r="WYA4" s="564"/>
      <c r="WYB4" s="564"/>
      <c r="WYC4" s="564"/>
      <c r="WYD4" s="564"/>
      <c r="WYE4" s="564"/>
      <c r="WYF4" s="564"/>
      <c r="WYG4" s="564"/>
      <c r="WYH4" s="564"/>
      <c r="WYI4" s="564"/>
      <c r="WYJ4" s="564"/>
      <c r="WYK4" s="564"/>
      <c r="WYL4" s="564"/>
      <c r="WYM4" s="564"/>
      <c r="WYN4" s="564"/>
      <c r="WYO4" s="564"/>
      <c r="WYP4" s="564"/>
      <c r="WYQ4" s="564"/>
      <c r="WYR4" s="564"/>
      <c r="WYS4" s="564"/>
      <c r="WYT4" s="564"/>
      <c r="WYU4" s="564"/>
      <c r="WYV4" s="564"/>
      <c r="WYW4" s="564"/>
      <c r="WYX4" s="564"/>
      <c r="WYY4" s="564"/>
      <c r="WYZ4" s="564"/>
      <c r="WZA4" s="564"/>
      <c r="WZB4" s="564"/>
      <c r="WZC4" s="564"/>
      <c r="WZD4" s="564"/>
      <c r="WZE4" s="564"/>
      <c r="WZF4" s="564"/>
      <c r="WZG4" s="564"/>
      <c r="WZH4" s="564"/>
      <c r="WZI4" s="564"/>
      <c r="WZJ4" s="564"/>
      <c r="WZK4" s="564"/>
      <c r="WZL4" s="564"/>
      <c r="WZM4" s="564"/>
      <c r="WZN4" s="564"/>
      <c r="WZO4" s="564"/>
      <c r="WZP4" s="564"/>
      <c r="WZQ4" s="564"/>
      <c r="WZR4" s="564"/>
      <c r="WZS4" s="564"/>
      <c r="WZT4" s="564"/>
      <c r="WZU4" s="564"/>
      <c r="WZV4" s="564"/>
      <c r="WZW4" s="564"/>
      <c r="WZX4" s="564"/>
      <c r="WZY4" s="564"/>
      <c r="WZZ4" s="564"/>
      <c r="XAA4" s="564"/>
      <c r="XAB4" s="564"/>
      <c r="XAC4" s="564"/>
      <c r="XAD4" s="564"/>
      <c r="XAE4" s="564"/>
      <c r="XAF4" s="564"/>
      <c r="XAG4" s="564"/>
      <c r="XAH4" s="564"/>
      <c r="XAI4" s="564"/>
      <c r="XAJ4" s="564"/>
      <c r="XAK4" s="564"/>
      <c r="XAL4" s="564"/>
      <c r="XAM4" s="564"/>
      <c r="XAN4" s="564"/>
      <c r="XAO4" s="564"/>
      <c r="XAP4" s="564"/>
      <c r="XAQ4" s="564"/>
      <c r="XAR4" s="564"/>
      <c r="XAS4" s="564"/>
      <c r="XAT4" s="564"/>
      <c r="XAU4" s="564"/>
      <c r="XAV4" s="564"/>
      <c r="XAW4" s="564"/>
      <c r="XAX4" s="564"/>
      <c r="XAY4" s="564"/>
      <c r="XAZ4" s="564"/>
      <c r="XBA4" s="564"/>
      <c r="XBB4" s="564"/>
      <c r="XBC4" s="564"/>
      <c r="XBD4" s="564"/>
      <c r="XBE4" s="564"/>
      <c r="XBF4" s="564"/>
      <c r="XBG4" s="564"/>
      <c r="XBH4" s="564"/>
      <c r="XBI4" s="564"/>
      <c r="XBJ4" s="564"/>
      <c r="XBK4" s="564"/>
      <c r="XBL4" s="564"/>
      <c r="XBM4" s="564"/>
      <c r="XBN4" s="564"/>
      <c r="XBO4" s="564"/>
      <c r="XBP4" s="564"/>
      <c r="XBQ4" s="564"/>
      <c r="XBR4" s="564"/>
      <c r="XBS4" s="564"/>
      <c r="XBT4" s="564"/>
      <c r="XBU4" s="564"/>
      <c r="XBV4" s="564"/>
      <c r="XBW4" s="564"/>
      <c r="XBX4" s="564"/>
      <c r="XBY4" s="564"/>
      <c r="XBZ4" s="564"/>
      <c r="XCA4" s="564"/>
      <c r="XCB4" s="564"/>
      <c r="XCC4" s="564"/>
      <c r="XCD4" s="564"/>
      <c r="XCE4" s="564"/>
      <c r="XCF4" s="564"/>
      <c r="XCG4" s="564"/>
      <c r="XCH4" s="564"/>
      <c r="XCI4" s="564"/>
      <c r="XCJ4" s="564"/>
      <c r="XCK4" s="564"/>
      <c r="XCL4" s="564"/>
      <c r="XCM4" s="564"/>
      <c r="XCN4" s="564"/>
      <c r="XCO4" s="564"/>
      <c r="XCP4" s="564"/>
      <c r="XCQ4" s="564"/>
      <c r="XCR4" s="564"/>
      <c r="XCS4" s="564"/>
      <c r="XCT4" s="564"/>
      <c r="XCU4" s="564"/>
      <c r="XCV4" s="564"/>
      <c r="XCW4" s="564"/>
      <c r="XCX4" s="564"/>
      <c r="XCY4" s="564"/>
      <c r="XCZ4" s="564"/>
      <c r="XDA4" s="564"/>
      <c r="XDB4" s="564"/>
      <c r="XDC4" s="564"/>
      <c r="XDD4" s="564"/>
      <c r="XDE4" s="564"/>
      <c r="XDF4" s="564"/>
      <c r="XDG4" s="564"/>
      <c r="XDH4" s="564"/>
      <c r="XDI4" s="564"/>
      <c r="XDJ4" s="564"/>
      <c r="XDK4" s="564"/>
      <c r="XDL4" s="564"/>
      <c r="XDM4" s="564"/>
      <c r="XDN4" s="564"/>
      <c r="XDO4" s="564"/>
      <c r="XDP4" s="564"/>
      <c r="XDQ4" s="564"/>
      <c r="XDR4" s="564"/>
      <c r="XDS4" s="564"/>
      <c r="XDT4" s="564"/>
      <c r="XDU4" s="564"/>
      <c r="XDV4" s="564"/>
      <c r="XDW4" s="564"/>
      <c r="XDX4" s="564"/>
      <c r="XDY4" s="564"/>
      <c r="XDZ4" s="564"/>
      <c r="XEA4" s="564"/>
      <c r="XEB4" s="564"/>
      <c r="XEC4" s="564"/>
      <c r="XED4" s="564"/>
      <c r="XEE4" s="564"/>
      <c r="XEF4" s="564"/>
      <c r="XEG4" s="564"/>
      <c r="XEH4" s="564"/>
      <c r="XEI4" s="564"/>
      <c r="XEJ4" s="564"/>
      <c r="XEK4" s="564"/>
      <c r="XEL4" s="564"/>
      <c r="XEM4" s="564"/>
      <c r="XEN4" s="564"/>
      <c r="XEO4" s="564"/>
      <c r="XEP4" s="564"/>
      <c r="XEQ4" s="564"/>
      <c r="XER4" s="564"/>
      <c r="XES4" s="564"/>
      <c r="XET4" s="564"/>
      <c r="XEU4" s="564"/>
      <c r="XEV4" s="564"/>
      <c r="XEW4" s="564"/>
      <c r="XEX4" s="564"/>
      <c r="XEY4" s="564"/>
      <c r="XEZ4" s="564"/>
      <c r="XFA4" s="564"/>
      <c r="XFB4" s="564"/>
      <c r="XFC4" s="564"/>
      <c r="XFD4" s="564"/>
    </row>
    <row r="5" spans="1:16384" s="193" customFormat="1">
      <c r="A5" s="564" t="s">
        <v>809</v>
      </c>
      <c r="B5" s="564"/>
      <c r="C5" s="564"/>
      <c r="D5" s="564"/>
      <c r="E5" s="564"/>
      <c r="F5" s="564"/>
      <c r="G5" s="564"/>
      <c r="H5" s="564"/>
      <c r="I5" s="564"/>
      <c r="J5" s="564"/>
      <c r="K5" s="564"/>
    </row>
    <row r="6" spans="1:16384" s="193" customFormat="1">
      <c r="A6" s="564"/>
      <c r="B6" s="564"/>
      <c r="C6" s="564"/>
      <c r="D6" s="564"/>
      <c r="E6" s="564"/>
      <c r="F6" s="564"/>
      <c r="G6" s="564"/>
      <c r="H6" s="564"/>
      <c r="I6" s="564"/>
      <c r="J6" s="564"/>
      <c r="K6" s="564"/>
    </row>
    <row r="7" spans="1:16384" s="193" customFormat="1">
      <c r="A7" s="540"/>
      <c r="B7" s="540"/>
      <c r="C7" s="540"/>
      <c r="D7" s="540"/>
      <c r="E7" s="540"/>
      <c r="F7" s="540"/>
      <c r="G7" s="540"/>
      <c r="H7" s="540"/>
      <c r="I7" s="540"/>
      <c r="J7" s="540"/>
      <c r="K7" s="540"/>
    </row>
    <row r="8" spans="1:16384" s="193" customFormat="1">
      <c r="A8" s="540"/>
      <c r="B8" s="540"/>
      <c r="C8" s="540"/>
      <c r="D8" s="540"/>
      <c r="E8" s="540"/>
      <c r="F8" s="540"/>
      <c r="G8" s="540"/>
      <c r="H8" s="540"/>
      <c r="I8" s="540"/>
      <c r="J8" s="540"/>
      <c r="K8" s="540"/>
    </row>
    <row r="11" spans="1:16384" s="193" customFormat="1">
      <c r="A11" s="295" t="s">
        <v>48</v>
      </c>
      <c r="B11" s="295"/>
      <c r="F11" s="250"/>
      <c r="J11" s="540"/>
    </row>
    <row r="12" spans="1:16384" s="193" customFormat="1">
      <c r="A12" s="529" t="s">
        <v>49</v>
      </c>
      <c r="B12" s="418" t="s">
        <v>50</v>
      </c>
      <c r="C12" s="289">
        <f>'Rate Calculation'!E49</f>
        <v>163660125.31235114</v>
      </c>
      <c r="D12" s="199" t="s">
        <v>51</v>
      </c>
      <c r="E12" s="266">
        <f>ABS('Rate Calculation'!E51)</f>
        <v>25788191.004891332</v>
      </c>
      <c r="F12" s="417" t="s">
        <v>52</v>
      </c>
      <c r="G12" s="418" t="s">
        <v>53</v>
      </c>
      <c r="H12" s="421">
        <f>'Rate Calculation'!E55* 1000</f>
        <v>4370333.333333334</v>
      </c>
      <c r="I12" s="418" t="s">
        <v>106</v>
      </c>
      <c r="J12" s="521">
        <f>'Rate Calculation'!E57</f>
        <v>31.55</v>
      </c>
      <c r="K12" s="193" t="s">
        <v>54</v>
      </c>
    </row>
    <row r="13" spans="1:16384" s="193" customFormat="1">
      <c r="A13" s="529" t="s">
        <v>55</v>
      </c>
      <c r="B13" s="529"/>
      <c r="C13" s="530">
        <f>'Rate Calculation'!E58</f>
        <v>2.6292</v>
      </c>
      <c r="D13" s="193" t="s">
        <v>56</v>
      </c>
      <c r="F13" s="250"/>
      <c r="J13" s="540"/>
      <c r="M13" s="3"/>
    </row>
    <row r="14" spans="1:16384" s="193" customFormat="1">
      <c r="A14" s="529" t="s">
        <v>57</v>
      </c>
      <c r="B14" s="529"/>
      <c r="C14" s="530">
        <f>'Rate Calculation'!E59</f>
        <v>0.60670000000000002</v>
      </c>
      <c r="D14" s="193" t="s">
        <v>58</v>
      </c>
      <c r="F14" s="250"/>
      <c r="J14" s="540"/>
    </row>
    <row r="15" spans="1:16384" s="193" customFormat="1">
      <c r="A15" s="529" t="s">
        <v>59</v>
      </c>
      <c r="B15" s="529"/>
      <c r="C15" s="530">
        <f>'Rate Calculation'!E60</f>
        <v>0.1011</v>
      </c>
      <c r="D15" s="193" t="s">
        <v>60</v>
      </c>
      <c r="F15" s="250"/>
      <c r="J15" s="540"/>
    </row>
    <row r="16" spans="1:16384" s="193" customFormat="1">
      <c r="A16" s="529" t="s">
        <v>61</v>
      </c>
      <c r="B16" s="529"/>
      <c r="C16" s="530">
        <f>'Rate Calculation'!E61</f>
        <v>8.6699999999999999E-2</v>
      </c>
      <c r="D16" s="193" t="s">
        <v>60</v>
      </c>
      <c r="F16" s="250"/>
      <c r="J16" s="540"/>
    </row>
    <row r="18" spans="1:10">
      <c r="A18" s="295" t="s">
        <v>62</v>
      </c>
      <c r="B18" s="295"/>
    </row>
    <row r="19" spans="1:10">
      <c r="A19" s="529" t="s">
        <v>63</v>
      </c>
      <c r="B19" s="529"/>
      <c r="C19" s="530">
        <f>C13</f>
        <v>2.6292</v>
      </c>
      <c r="D19" s="193" t="s">
        <v>56</v>
      </c>
    </row>
    <row r="20" spans="1:10">
      <c r="A20" s="529" t="s">
        <v>64</v>
      </c>
      <c r="B20" s="529"/>
      <c r="C20" s="530">
        <f>C14</f>
        <v>0.60670000000000002</v>
      </c>
      <c r="D20" s="193" t="s">
        <v>58</v>
      </c>
    </row>
    <row r="21" spans="1:10">
      <c r="A21" s="529" t="s">
        <v>65</v>
      </c>
      <c r="B21" s="529"/>
      <c r="C21" s="530">
        <f>C15</f>
        <v>0.1011</v>
      </c>
      <c r="D21" s="193" t="s">
        <v>60</v>
      </c>
    </row>
    <row r="22" spans="1:10">
      <c r="A22" s="529" t="s">
        <v>61</v>
      </c>
      <c r="B22" s="529"/>
      <c r="C22" s="530">
        <f>C16</f>
        <v>8.6699999999999999E-2</v>
      </c>
      <c r="D22" s="193" t="s">
        <v>60</v>
      </c>
    </row>
    <row r="23" spans="1:10" ht="25.5">
      <c r="A23" s="531" t="s">
        <v>66</v>
      </c>
      <c r="B23" s="531"/>
      <c r="C23" s="311">
        <f>'Rate Calculation'!E62</f>
        <v>6.44</v>
      </c>
      <c r="D23" s="193" t="s">
        <v>67</v>
      </c>
    </row>
    <row r="24" spans="1:10">
      <c r="A24" s="529" t="s">
        <v>68</v>
      </c>
      <c r="C24" s="311">
        <f>'Rate Calculation'!E63</f>
        <v>3.6</v>
      </c>
      <c r="D24" s="193" t="s">
        <v>67</v>
      </c>
    </row>
    <row r="25" spans="1:10">
      <c r="A25" s="529"/>
    </row>
    <row r="26" spans="1:10">
      <c r="A26" s="532" t="s">
        <v>69</v>
      </c>
      <c r="B26" s="532"/>
    </row>
    <row r="27" spans="1:10">
      <c r="A27" s="529" t="s">
        <v>70</v>
      </c>
      <c r="B27" s="529"/>
      <c r="C27" s="266">
        <f>'Rate Calculation'!E49</f>
        <v>163660125.31235114</v>
      </c>
      <c r="D27" s="533" t="s">
        <v>51</v>
      </c>
      <c r="E27" s="266">
        <f>ABS('Rate Calculation'!E51)</f>
        <v>25788191.004891332</v>
      </c>
      <c r="F27" s="417" t="s">
        <v>300</v>
      </c>
      <c r="H27" s="289">
        <f>'Calc of NT Rev Req'!I19</f>
        <v>4285052.8815927384</v>
      </c>
      <c r="I27" s="418" t="s">
        <v>106</v>
      </c>
      <c r="J27" s="368">
        <f>'Calc of NT Rev Req'!I21</f>
        <v>142156987.18905255</v>
      </c>
    </row>
    <row r="28" spans="1:10">
      <c r="A28" s="529" t="s">
        <v>287</v>
      </c>
      <c r="B28" s="529"/>
      <c r="C28" s="289">
        <f>J27/12</f>
        <v>11846415.599087713</v>
      </c>
    </row>
    <row r="31" spans="1:10">
      <c r="A31" s="418"/>
      <c r="B31" s="418"/>
    </row>
  </sheetData>
  <mergeCells count="1495">
    <mergeCell ref="XEO4:XEY4"/>
    <mergeCell ref="XEZ4:XFD4"/>
    <mergeCell ref="XCL4:XCV4"/>
    <mergeCell ref="XCW4:XDG4"/>
    <mergeCell ref="XDH4:XDR4"/>
    <mergeCell ref="XDS4:XEC4"/>
    <mergeCell ref="XED4:XEN4"/>
    <mergeCell ref="XAI4:XAS4"/>
    <mergeCell ref="XAT4:XBD4"/>
    <mergeCell ref="XBE4:XBO4"/>
    <mergeCell ref="XBP4:XBZ4"/>
    <mergeCell ref="XCA4:XCK4"/>
    <mergeCell ref="WYF4:WYP4"/>
    <mergeCell ref="WYQ4:WZA4"/>
    <mergeCell ref="WZB4:WZL4"/>
    <mergeCell ref="WZM4:WZW4"/>
    <mergeCell ref="WZX4:XAH4"/>
    <mergeCell ref="WWC4:WWM4"/>
    <mergeCell ref="WWN4:WWX4"/>
    <mergeCell ref="WWY4:WXI4"/>
    <mergeCell ref="WXJ4:WXT4"/>
    <mergeCell ref="WXU4:WYE4"/>
    <mergeCell ref="WTZ4:WUJ4"/>
    <mergeCell ref="WUK4:WUU4"/>
    <mergeCell ref="WUV4:WVF4"/>
    <mergeCell ref="WVG4:WVQ4"/>
    <mergeCell ref="WVR4:WWB4"/>
    <mergeCell ref="WRW4:WSG4"/>
    <mergeCell ref="WSH4:WSR4"/>
    <mergeCell ref="WSS4:WTC4"/>
    <mergeCell ref="WTD4:WTN4"/>
    <mergeCell ref="WTO4:WTY4"/>
    <mergeCell ref="WPT4:WQD4"/>
    <mergeCell ref="WQE4:WQO4"/>
    <mergeCell ref="WQP4:WQZ4"/>
    <mergeCell ref="WRA4:WRK4"/>
    <mergeCell ref="WRL4:WRV4"/>
    <mergeCell ref="WNQ4:WOA4"/>
    <mergeCell ref="WOB4:WOL4"/>
    <mergeCell ref="WOM4:WOW4"/>
    <mergeCell ref="WOX4:WPH4"/>
    <mergeCell ref="WPI4:WPS4"/>
    <mergeCell ref="WLN4:WLX4"/>
    <mergeCell ref="WLY4:WMI4"/>
    <mergeCell ref="WMJ4:WMT4"/>
    <mergeCell ref="WMU4:WNE4"/>
    <mergeCell ref="WNF4:WNP4"/>
    <mergeCell ref="WJK4:WJU4"/>
    <mergeCell ref="WJV4:WKF4"/>
    <mergeCell ref="WKG4:WKQ4"/>
    <mergeCell ref="WKR4:WLB4"/>
    <mergeCell ref="WLC4:WLM4"/>
    <mergeCell ref="WHH4:WHR4"/>
    <mergeCell ref="WHS4:WIC4"/>
    <mergeCell ref="WID4:WIN4"/>
    <mergeCell ref="WIO4:WIY4"/>
    <mergeCell ref="WIZ4:WJJ4"/>
    <mergeCell ref="WFE4:WFO4"/>
    <mergeCell ref="WFP4:WFZ4"/>
    <mergeCell ref="WGA4:WGK4"/>
    <mergeCell ref="WGL4:WGV4"/>
    <mergeCell ref="WGW4:WHG4"/>
    <mergeCell ref="WDB4:WDL4"/>
    <mergeCell ref="WDM4:WDW4"/>
    <mergeCell ref="WDX4:WEH4"/>
    <mergeCell ref="WEI4:WES4"/>
    <mergeCell ref="WET4:WFD4"/>
    <mergeCell ref="WAY4:WBI4"/>
    <mergeCell ref="WBJ4:WBT4"/>
    <mergeCell ref="WBU4:WCE4"/>
    <mergeCell ref="WCF4:WCP4"/>
    <mergeCell ref="WCQ4:WDA4"/>
    <mergeCell ref="VYV4:VZF4"/>
    <mergeCell ref="VZG4:VZQ4"/>
    <mergeCell ref="VZR4:WAB4"/>
    <mergeCell ref="WAC4:WAM4"/>
    <mergeCell ref="WAN4:WAX4"/>
    <mergeCell ref="VWS4:VXC4"/>
    <mergeCell ref="VXD4:VXN4"/>
    <mergeCell ref="VXO4:VXY4"/>
    <mergeCell ref="VXZ4:VYJ4"/>
    <mergeCell ref="VYK4:VYU4"/>
    <mergeCell ref="VUP4:VUZ4"/>
    <mergeCell ref="VVA4:VVK4"/>
    <mergeCell ref="VVL4:VVV4"/>
    <mergeCell ref="VVW4:VWG4"/>
    <mergeCell ref="VWH4:VWR4"/>
    <mergeCell ref="VSM4:VSW4"/>
    <mergeCell ref="VSX4:VTH4"/>
    <mergeCell ref="VTI4:VTS4"/>
    <mergeCell ref="VTT4:VUD4"/>
    <mergeCell ref="VUE4:VUO4"/>
    <mergeCell ref="VQJ4:VQT4"/>
    <mergeCell ref="VQU4:VRE4"/>
    <mergeCell ref="VRF4:VRP4"/>
    <mergeCell ref="VRQ4:VSA4"/>
    <mergeCell ref="VSB4:VSL4"/>
    <mergeCell ref="VOG4:VOQ4"/>
    <mergeCell ref="VOR4:VPB4"/>
    <mergeCell ref="VPC4:VPM4"/>
    <mergeCell ref="VPN4:VPX4"/>
    <mergeCell ref="VPY4:VQI4"/>
    <mergeCell ref="VMD4:VMN4"/>
    <mergeCell ref="VMO4:VMY4"/>
    <mergeCell ref="VMZ4:VNJ4"/>
    <mergeCell ref="VNK4:VNU4"/>
    <mergeCell ref="VNV4:VOF4"/>
    <mergeCell ref="VKA4:VKK4"/>
    <mergeCell ref="VKL4:VKV4"/>
    <mergeCell ref="VKW4:VLG4"/>
    <mergeCell ref="VLH4:VLR4"/>
    <mergeCell ref="VLS4:VMC4"/>
    <mergeCell ref="VHX4:VIH4"/>
    <mergeCell ref="VII4:VIS4"/>
    <mergeCell ref="VIT4:VJD4"/>
    <mergeCell ref="VJE4:VJO4"/>
    <mergeCell ref="VJP4:VJZ4"/>
    <mergeCell ref="VFU4:VGE4"/>
    <mergeCell ref="VGF4:VGP4"/>
    <mergeCell ref="VGQ4:VHA4"/>
    <mergeCell ref="VHB4:VHL4"/>
    <mergeCell ref="VHM4:VHW4"/>
    <mergeCell ref="VDR4:VEB4"/>
    <mergeCell ref="VEC4:VEM4"/>
    <mergeCell ref="VEN4:VEX4"/>
    <mergeCell ref="VEY4:VFI4"/>
    <mergeCell ref="VFJ4:VFT4"/>
    <mergeCell ref="VBO4:VBY4"/>
    <mergeCell ref="VBZ4:VCJ4"/>
    <mergeCell ref="VCK4:VCU4"/>
    <mergeCell ref="VCV4:VDF4"/>
    <mergeCell ref="VDG4:VDQ4"/>
    <mergeCell ref="UZL4:UZV4"/>
    <mergeCell ref="UZW4:VAG4"/>
    <mergeCell ref="VAH4:VAR4"/>
    <mergeCell ref="VAS4:VBC4"/>
    <mergeCell ref="VBD4:VBN4"/>
    <mergeCell ref="UXI4:UXS4"/>
    <mergeCell ref="UXT4:UYD4"/>
    <mergeCell ref="UYE4:UYO4"/>
    <mergeCell ref="UYP4:UYZ4"/>
    <mergeCell ref="UZA4:UZK4"/>
    <mergeCell ref="UVF4:UVP4"/>
    <mergeCell ref="UVQ4:UWA4"/>
    <mergeCell ref="UWB4:UWL4"/>
    <mergeCell ref="UWM4:UWW4"/>
    <mergeCell ref="UWX4:UXH4"/>
    <mergeCell ref="UTC4:UTM4"/>
    <mergeCell ref="UTN4:UTX4"/>
    <mergeCell ref="UTY4:UUI4"/>
    <mergeCell ref="UUJ4:UUT4"/>
    <mergeCell ref="UUU4:UVE4"/>
    <mergeCell ref="UQZ4:URJ4"/>
    <mergeCell ref="URK4:URU4"/>
    <mergeCell ref="URV4:USF4"/>
    <mergeCell ref="USG4:USQ4"/>
    <mergeCell ref="USR4:UTB4"/>
    <mergeCell ref="UOW4:UPG4"/>
    <mergeCell ref="UPH4:UPR4"/>
    <mergeCell ref="UPS4:UQC4"/>
    <mergeCell ref="UQD4:UQN4"/>
    <mergeCell ref="UQO4:UQY4"/>
    <mergeCell ref="UMT4:UND4"/>
    <mergeCell ref="UNE4:UNO4"/>
    <mergeCell ref="UNP4:UNZ4"/>
    <mergeCell ref="UOA4:UOK4"/>
    <mergeCell ref="UOL4:UOV4"/>
    <mergeCell ref="UKQ4:ULA4"/>
    <mergeCell ref="ULB4:ULL4"/>
    <mergeCell ref="ULM4:ULW4"/>
    <mergeCell ref="ULX4:UMH4"/>
    <mergeCell ref="UMI4:UMS4"/>
    <mergeCell ref="UIN4:UIX4"/>
    <mergeCell ref="UIY4:UJI4"/>
    <mergeCell ref="UJJ4:UJT4"/>
    <mergeCell ref="UJU4:UKE4"/>
    <mergeCell ref="UKF4:UKP4"/>
    <mergeCell ref="UGK4:UGU4"/>
    <mergeCell ref="UGV4:UHF4"/>
    <mergeCell ref="UHG4:UHQ4"/>
    <mergeCell ref="UHR4:UIB4"/>
    <mergeCell ref="UIC4:UIM4"/>
    <mergeCell ref="UEH4:UER4"/>
    <mergeCell ref="UES4:UFC4"/>
    <mergeCell ref="UFD4:UFN4"/>
    <mergeCell ref="UFO4:UFY4"/>
    <mergeCell ref="UFZ4:UGJ4"/>
    <mergeCell ref="UCE4:UCO4"/>
    <mergeCell ref="UCP4:UCZ4"/>
    <mergeCell ref="UDA4:UDK4"/>
    <mergeCell ref="UDL4:UDV4"/>
    <mergeCell ref="UDW4:UEG4"/>
    <mergeCell ref="UAB4:UAL4"/>
    <mergeCell ref="UAM4:UAW4"/>
    <mergeCell ref="UAX4:UBH4"/>
    <mergeCell ref="UBI4:UBS4"/>
    <mergeCell ref="UBT4:UCD4"/>
    <mergeCell ref="TXY4:TYI4"/>
    <mergeCell ref="TYJ4:TYT4"/>
    <mergeCell ref="TYU4:TZE4"/>
    <mergeCell ref="TZF4:TZP4"/>
    <mergeCell ref="TZQ4:UAA4"/>
    <mergeCell ref="TVV4:TWF4"/>
    <mergeCell ref="TWG4:TWQ4"/>
    <mergeCell ref="TWR4:TXB4"/>
    <mergeCell ref="TXC4:TXM4"/>
    <mergeCell ref="TXN4:TXX4"/>
    <mergeCell ref="TTS4:TUC4"/>
    <mergeCell ref="TUD4:TUN4"/>
    <mergeCell ref="TUO4:TUY4"/>
    <mergeCell ref="TUZ4:TVJ4"/>
    <mergeCell ref="TVK4:TVU4"/>
    <mergeCell ref="TRP4:TRZ4"/>
    <mergeCell ref="TSA4:TSK4"/>
    <mergeCell ref="TSL4:TSV4"/>
    <mergeCell ref="TSW4:TTG4"/>
    <mergeCell ref="TTH4:TTR4"/>
    <mergeCell ref="TPM4:TPW4"/>
    <mergeCell ref="TPX4:TQH4"/>
    <mergeCell ref="TQI4:TQS4"/>
    <mergeCell ref="TQT4:TRD4"/>
    <mergeCell ref="TRE4:TRO4"/>
    <mergeCell ref="TNJ4:TNT4"/>
    <mergeCell ref="TNU4:TOE4"/>
    <mergeCell ref="TOF4:TOP4"/>
    <mergeCell ref="TOQ4:TPA4"/>
    <mergeCell ref="TPB4:TPL4"/>
    <mergeCell ref="TLG4:TLQ4"/>
    <mergeCell ref="TLR4:TMB4"/>
    <mergeCell ref="TMC4:TMM4"/>
    <mergeCell ref="TMN4:TMX4"/>
    <mergeCell ref="TMY4:TNI4"/>
    <mergeCell ref="TJD4:TJN4"/>
    <mergeCell ref="TJO4:TJY4"/>
    <mergeCell ref="TJZ4:TKJ4"/>
    <mergeCell ref="TKK4:TKU4"/>
    <mergeCell ref="TKV4:TLF4"/>
    <mergeCell ref="THA4:THK4"/>
    <mergeCell ref="THL4:THV4"/>
    <mergeCell ref="THW4:TIG4"/>
    <mergeCell ref="TIH4:TIR4"/>
    <mergeCell ref="TIS4:TJC4"/>
    <mergeCell ref="TEX4:TFH4"/>
    <mergeCell ref="TFI4:TFS4"/>
    <mergeCell ref="TFT4:TGD4"/>
    <mergeCell ref="TGE4:TGO4"/>
    <mergeCell ref="TGP4:TGZ4"/>
    <mergeCell ref="TCU4:TDE4"/>
    <mergeCell ref="TDF4:TDP4"/>
    <mergeCell ref="TDQ4:TEA4"/>
    <mergeCell ref="TEB4:TEL4"/>
    <mergeCell ref="TEM4:TEW4"/>
    <mergeCell ref="TAR4:TBB4"/>
    <mergeCell ref="TBC4:TBM4"/>
    <mergeCell ref="TBN4:TBX4"/>
    <mergeCell ref="TBY4:TCI4"/>
    <mergeCell ref="TCJ4:TCT4"/>
    <mergeCell ref="SYO4:SYY4"/>
    <mergeCell ref="SYZ4:SZJ4"/>
    <mergeCell ref="SZK4:SZU4"/>
    <mergeCell ref="SZV4:TAF4"/>
    <mergeCell ref="TAG4:TAQ4"/>
    <mergeCell ref="SWL4:SWV4"/>
    <mergeCell ref="SWW4:SXG4"/>
    <mergeCell ref="SXH4:SXR4"/>
    <mergeCell ref="SXS4:SYC4"/>
    <mergeCell ref="SYD4:SYN4"/>
    <mergeCell ref="SUI4:SUS4"/>
    <mergeCell ref="SUT4:SVD4"/>
    <mergeCell ref="SVE4:SVO4"/>
    <mergeCell ref="SVP4:SVZ4"/>
    <mergeCell ref="SWA4:SWK4"/>
    <mergeCell ref="SSF4:SSP4"/>
    <mergeCell ref="SSQ4:STA4"/>
    <mergeCell ref="STB4:STL4"/>
    <mergeCell ref="STM4:STW4"/>
    <mergeCell ref="STX4:SUH4"/>
    <mergeCell ref="SQC4:SQM4"/>
    <mergeCell ref="SQN4:SQX4"/>
    <mergeCell ref="SQY4:SRI4"/>
    <mergeCell ref="SRJ4:SRT4"/>
    <mergeCell ref="SRU4:SSE4"/>
    <mergeCell ref="SNZ4:SOJ4"/>
    <mergeCell ref="SOK4:SOU4"/>
    <mergeCell ref="SOV4:SPF4"/>
    <mergeCell ref="SPG4:SPQ4"/>
    <mergeCell ref="SPR4:SQB4"/>
    <mergeCell ref="SLW4:SMG4"/>
    <mergeCell ref="SMH4:SMR4"/>
    <mergeCell ref="SMS4:SNC4"/>
    <mergeCell ref="SND4:SNN4"/>
    <mergeCell ref="SNO4:SNY4"/>
    <mergeCell ref="SJT4:SKD4"/>
    <mergeCell ref="SKE4:SKO4"/>
    <mergeCell ref="SKP4:SKZ4"/>
    <mergeCell ref="SLA4:SLK4"/>
    <mergeCell ref="SLL4:SLV4"/>
    <mergeCell ref="SHQ4:SIA4"/>
    <mergeCell ref="SIB4:SIL4"/>
    <mergeCell ref="SIM4:SIW4"/>
    <mergeCell ref="SIX4:SJH4"/>
    <mergeCell ref="SJI4:SJS4"/>
    <mergeCell ref="SFN4:SFX4"/>
    <mergeCell ref="SFY4:SGI4"/>
    <mergeCell ref="SGJ4:SGT4"/>
    <mergeCell ref="SGU4:SHE4"/>
    <mergeCell ref="SHF4:SHP4"/>
    <mergeCell ref="SDK4:SDU4"/>
    <mergeCell ref="SDV4:SEF4"/>
    <mergeCell ref="SEG4:SEQ4"/>
    <mergeCell ref="SER4:SFB4"/>
    <mergeCell ref="SFC4:SFM4"/>
    <mergeCell ref="SBH4:SBR4"/>
    <mergeCell ref="SBS4:SCC4"/>
    <mergeCell ref="SCD4:SCN4"/>
    <mergeCell ref="SCO4:SCY4"/>
    <mergeCell ref="SCZ4:SDJ4"/>
    <mergeCell ref="RZE4:RZO4"/>
    <mergeCell ref="RZP4:RZZ4"/>
    <mergeCell ref="SAA4:SAK4"/>
    <mergeCell ref="SAL4:SAV4"/>
    <mergeCell ref="SAW4:SBG4"/>
    <mergeCell ref="RXB4:RXL4"/>
    <mergeCell ref="RXM4:RXW4"/>
    <mergeCell ref="RXX4:RYH4"/>
    <mergeCell ref="RYI4:RYS4"/>
    <mergeCell ref="RYT4:RZD4"/>
    <mergeCell ref="RUY4:RVI4"/>
    <mergeCell ref="RVJ4:RVT4"/>
    <mergeCell ref="RVU4:RWE4"/>
    <mergeCell ref="RWF4:RWP4"/>
    <mergeCell ref="RWQ4:RXA4"/>
    <mergeCell ref="RSV4:RTF4"/>
    <mergeCell ref="RTG4:RTQ4"/>
    <mergeCell ref="RTR4:RUB4"/>
    <mergeCell ref="RUC4:RUM4"/>
    <mergeCell ref="RUN4:RUX4"/>
    <mergeCell ref="RQS4:RRC4"/>
    <mergeCell ref="RRD4:RRN4"/>
    <mergeCell ref="RRO4:RRY4"/>
    <mergeCell ref="RRZ4:RSJ4"/>
    <mergeCell ref="RSK4:RSU4"/>
    <mergeCell ref="ROP4:ROZ4"/>
    <mergeCell ref="RPA4:RPK4"/>
    <mergeCell ref="RPL4:RPV4"/>
    <mergeCell ref="RPW4:RQG4"/>
    <mergeCell ref="RQH4:RQR4"/>
    <mergeCell ref="RMM4:RMW4"/>
    <mergeCell ref="RMX4:RNH4"/>
    <mergeCell ref="RNI4:RNS4"/>
    <mergeCell ref="RNT4:ROD4"/>
    <mergeCell ref="ROE4:ROO4"/>
    <mergeCell ref="RKJ4:RKT4"/>
    <mergeCell ref="RKU4:RLE4"/>
    <mergeCell ref="RLF4:RLP4"/>
    <mergeCell ref="RLQ4:RMA4"/>
    <mergeCell ref="RMB4:RML4"/>
    <mergeCell ref="RIG4:RIQ4"/>
    <mergeCell ref="RIR4:RJB4"/>
    <mergeCell ref="RJC4:RJM4"/>
    <mergeCell ref="RJN4:RJX4"/>
    <mergeCell ref="RJY4:RKI4"/>
    <mergeCell ref="RGD4:RGN4"/>
    <mergeCell ref="RGO4:RGY4"/>
    <mergeCell ref="RGZ4:RHJ4"/>
    <mergeCell ref="RHK4:RHU4"/>
    <mergeCell ref="RHV4:RIF4"/>
    <mergeCell ref="REA4:REK4"/>
    <mergeCell ref="REL4:REV4"/>
    <mergeCell ref="REW4:RFG4"/>
    <mergeCell ref="RFH4:RFR4"/>
    <mergeCell ref="RFS4:RGC4"/>
    <mergeCell ref="RBX4:RCH4"/>
    <mergeCell ref="RCI4:RCS4"/>
    <mergeCell ref="RCT4:RDD4"/>
    <mergeCell ref="RDE4:RDO4"/>
    <mergeCell ref="RDP4:RDZ4"/>
    <mergeCell ref="QZU4:RAE4"/>
    <mergeCell ref="RAF4:RAP4"/>
    <mergeCell ref="RAQ4:RBA4"/>
    <mergeCell ref="RBB4:RBL4"/>
    <mergeCell ref="RBM4:RBW4"/>
    <mergeCell ref="QXR4:QYB4"/>
    <mergeCell ref="QYC4:QYM4"/>
    <mergeCell ref="QYN4:QYX4"/>
    <mergeCell ref="QYY4:QZI4"/>
    <mergeCell ref="QZJ4:QZT4"/>
    <mergeCell ref="QVO4:QVY4"/>
    <mergeCell ref="QVZ4:QWJ4"/>
    <mergeCell ref="QWK4:QWU4"/>
    <mergeCell ref="QWV4:QXF4"/>
    <mergeCell ref="QXG4:QXQ4"/>
    <mergeCell ref="QTL4:QTV4"/>
    <mergeCell ref="QTW4:QUG4"/>
    <mergeCell ref="QUH4:QUR4"/>
    <mergeCell ref="QUS4:QVC4"/>
    <mergeCell ref="QVD4:QVN4"/>
    <mergeCell ref="QRI4:QRS4"/>
    <mergeCell ref="QRT4:QSD4"/>
    <mergeCell ref="QSE4:QSO4"/>
    <mergeCell ref="QSP4:QSZ4"/>
    <mergeCell ref="QTA4:QTK4"/>
    <mergeCell ref="QPF4:QPP4"/>
    <mergeCell ref="QPQ4:QQA4"/>
    <mergeCell ref="QQB4:QQL4"/>
    <mergeCell ref="QQM4:QQW4"/>
    <mergeCell ref="QQX4:QRH4"/>
    <mergeCell ref="QNC4:QNM4"/>
    <mergeCell ref="QNN4:QNX4"/>
    <mergeCell ref="QNY4:QOI4"/>
    <mergeCell ref="QOJ4:QOT4"/>
    <mergeCell ref="QOU4:QPE4"/>
    <mergeCell ref="QKZ4:QLJ4"/>
    <mergeCell ref="QLK4:QLU4"/>
    <mergeCell ref="QLV4:QMF4"/>
    <mergeCell ref="QMG4:QMQ4"/>
    <mergeCell ref="QMR4:QNB4"/>
    <mergeCell ref="QIW4:QJG4"/>
    <mergeCell ref="QJH4:QJR4"/>
    <mergeCell ref="QJS4:QKC4"/>
    <mergeCell ref="QKD4:QKN4"/>
    <mergeCell ref="QKO4:QKY4"/>
    <mergeCell ref="QGT4:QHD4"/>
    <mergeCell ref="QHE4:QHO4"/>
    <mergeCell ref="QHP4:QHZ4"/>
    <mergeCell ref="QIA4:QIK4"/>
    <mergeCell ref="QIL4:QIV4"/>
    <mergeCell ref="QEQ4:QFA4"/>
    <mergeCell ref="QFB4:QFL4"/>
    <mergeCell ref="QFM4:QFW4"/>
    <mergeCell ref="QFX4:QGH4"/>
    <mergeCell ref="QGI4:QGS4"/>
    <mergeCell ref="QCN4:QCX4"/>
    <mergeCell ref="QCY4:QDI4"/>
    <mergeCell ref="QDJ4:QDT4"/>
    <mergeCell ref="QDU4:QEE4"/>
    <mergeCell ref="QEF4:QEP4"/>
    <mergeCell ref="QAK4:QAU4"/>
    <mergeCell ref="QAV4:QBF4"/>
    <mergeCell ref="QBG4:QBQ4"/>
    <mergeCell ref="QBR4:QCB4"/>
    <mergeCell ref="QCC4:QCM4"/>
    <mergeCell ref="PYH4:PYR4"/>
    <mergeCell ref="PYS4:PZC4"/>
    <mergeCell ref="PZD4:PZN4"/>
    <mergeCell ref="PZO4:PZY4"/>
    <mergeCell ref="PZZ4:QAJ4"/>
    <mergeCell ref="PWE4:PWO4"/>
    <mergeCell ref="PWP4:PWZ4"/>
    <mergeCell ref="PXA4:PXK4"/>
    <mergeCell ref="PXL4:PXV4"/>
    <mergeCell ref="PXW4:PYG4"/>
    <mergeCell ref="PUB4:PUL4"/>
    <mergeCell ref="PUM4:PUW4"/>
    <mergeCell ref="PUX4:PVH4"/>
    <mergeCell ref="PVI4:PVS4"/>
    <mergeCell ref="PVT4:PWD4"/>
    <mergeCell ref="PRY4:PSI4"/>
    <mergeCell ref="PSJ4:PST4"/>
    <mergeCell ref="PSU4:PTE4"/>
    <mergeCell ref="PTF4:PTP4"/>
    <mergeCell ref="PTQ4:PUA4"/>
    <mergeCell ref="PPV4:PQF4"/>
    <mergeCell ref="PQG4:PQQ4"/>
    <mergeCell ref="PQR4:PRB4"/>
    <mergeCell ref="PRC4:PRM4"/>
    <mergeCell ref="PRN4:PRX4"/>
    <mergeCell ref="PNS4:POC4"/>
    <mergeCell ref="POD4:PON4"/>
    <mergeCell ref="POO4:POY4"/>
    <mergeCell ref="POZ4:PPJ4"/>
    <mergeCell ref="PPK4:PPU4"/>
    <mergeCell ref="PLP4:PLZ4"/>
    <mergeCell ref="PMA4:PMK4"/>
    <mergeCell ref="PML4:PMV4"/>
    <mergeCell ref="PMW4:PNG4"/>
    <mergeCell ref="PNH4:PNR4"/>
    <mergeCell ref="PJM4:PJW4"/>
    <mergeCell ref="PJX4:PKH4"/>
    <mergeCell ref="PKI4:PKS4"/>
    <mergeCell ref="PKT4:PLD4"/>
    <mergeCell ref="PLE4:PLO4"/>
    <mergeCell ref="PHJ4:PHT4"/>
    <mergeCell ref="PHU4:PIE4"/>
    <mergeCell ref="PIF4:PIP4"/>
    <mergeCell ref="PIQ4:PJA4"/>
    <mergeCell ref="PJB4:PJL4"/>
    <mergeCell ref="PFG4:PFQ4"/>
    <mergeCell ref="PFR4:PGB4"/>
    <mergeCell ref="PGC4:PGM4"/>
    <mergeCell ref="PGN4:PGX4"/>
    <mergeCell ref="PGY4:PHI4"/>
    <mergeCell ref="PDD4:PDN4"/>
    <mergeCell ref="PDO4:PDY4"/>
    <mergeCell ref="PDZ4:PEJ4"/>
    <mergeCell ref="PEK4:PEU4"/>
    <mergeCell ref="PEV4:PFF4"/>
    <mergeCell ref="PBA4:PBK4"/>
    <mergeCell ref="PBL4:PBV4"/>
    <mergeCell ref="PBW4:PCG4"/>
    <mergeCell ref="PCH4:PCR4"/>
    <mergeCell ref="PCS4:PDC4"/>
    <mergeCell ref="OYX4:OZH4"/>
    <mergeCell ref="OZI4:OZS4"/>
    <mergeCell ref="OZT4:PAD4"/>
    <mergeCell ref="PAE4:PAO4"/>
    <mergeCell ref="PAP4:PAZ4"/>
    <mergeCell ref="OWU4:OXE4"/>
    <mergeCell ref="OXF4:OXP4"/>
    <mergeCell ref="OXQ4:OYA4"/>
    <mergeCell ref="OYB4:OYL4"/>
    <mergeCell ref="OYM4:OYW4"/>
    <mergeCell ref="OUR4:OVB4"/>
    <mergeCell ref="OVC4:OVM4"/>
    <mergeCell ref="OVN4:OVX4"/>
    <mergeCell ref="OVY4:OWI4"/>
    <mergeCell ref="OWJ4:OWT4"/>
    <mergeCell ref="OSO4:OSY4"/>
    <mergeCell ref="OSZ4:OTJ4"/>
    <mergeCell ref="OTK4:OTU4"/>
    <mergeCell ref="OTV4:OUF4"/>
    <mergeCell ref="OUG4:OUQ4"/>
    <mergeCell ref="OQL4:OQV4"/>
    <mergeCell ref="OQW4:ORG4"/>
    <mergeCell ref="ORH4:ORR4"/>
    <mergeCell ref="ORS4:OSC4"/>
    <mergeCell ref="OSD4:OSN4"/>
    <mergeCell ref="OOI4:OOS4"/>
    <mergeCell ref="OOT4:OPD4"/>
    <mergeCell ref="OPE4:OPO4"/>
    <mergeCell ref="OPP4:OPZ4"/>
    <mergeCell ref="OQA4:OQK4"/>
    <mergeCell ref="OMF4:OMP4"/>
    <mergeCell ref="OMQ4:ONA4"/>
    <mergeCell ref="ONB4:ONL4"/>
    <mergeCell ref="ONM4:ONW4"/>
    <mergeCell ref="ONX4:OOH4"/>
    <mergeCell ref="OKC4:OKM4"/>
    <mergeCell ref="OKN4:OKX4"/>
    <mergeCell ref="OKY4:OLI4"/>
    <mergeCell ref="OLJ4:OLT4"/>
    <mergeCell ref="OLU4:OME4"/>
    <mergeCell ref="OHZ4:OIJ4"/>
    <mergeCell ref="OIK4:OIU4"/>
    <mergeCell ref="OIV4:OJF4"/>
    <mergeCell ref="OJG4:OJQ4"/>
    <mergeCell ref="OJR4:OKB4"/>
    <mergeCell ref="OFW4:OGG4"/>
    <mergeCell ref="OGH4:OGR4"/>
    <mergeCell ref="OGS4:OHC4"/>
    <mergeCell ref="OHD4:OHN4"/>
    <mergeCell ref="OHO4:OHY4"/>
    <mergeCell ref="ODT4:OED4"/>
    <mergeCell ref="OEE4:OEO4"/>
    <mergeCell ref="OEP4:OEZ4"/>
    <mergeCell ref="OFA4:OFK4"/>
    <mergeCell ref="OFL4:OFV4"/>
    <mergeCell ref="OBQ4:OCA4"/>
    <mergeCell ref="OCB4:OCL4"/>
    <mergeCell ref="OCM4:OCW4"/>
    <mergeCell ref="OCX4:ODH4"/>
    <mergeCell ref="ODI4:ODS4"/>
    <mergeCell ref="NZN4:NZX4"/>
    <mergeCell ref="NZY4:OAI4"/>
    <mergeCell ref="OAJ4:OAT4"/>
    <mergeCell ref="OAU4:OBE4"/>
    <mergeCell ref="OBF4:OBP4"/>
    <mergeCell ref="NXK4:NXU4"/>
    <mergeCell ref="NXV4:NYF4"/>
    <mergeCell ref="NYG4:NYQ4"/>
    <mergeCell ref="NYR4:NZB4"/>
    <mergeCell ref="NZC4:NZM4"/>
    <mergeCell ref="NVH4:NVR4"/>
    <mergeCell ref="NVS4:NWC4"/>
    <mergeCell ref="NWD4:NWN4"/>
    <mergeCell ref="NWO4:NWY4"/>
    <mergeCell ref="NWZ4:NXJ4"/>
    <mergeCell ref="NTE4:NTO4"/>
    <mergeCell ref="NTP4:NTZ4"/>
    <mergeCell ref="NUA4:NUK4"/>
    <mergeCell ref="NUL4:NUV4"/>
    <mergeCell ref="NUW4:NVG4"/>
    <mergeCell ref="NRB4:NRL4"/>
    <mergeCell ref="NRM4:NRW4"/>
    <mergeCell ref="NRX4:NSH4"/>
    <mergeCell ref="NSI4:NSS4"/>
    <mergeCell ref="NST4:NTD4"/>
    <mergeCell ref="NOY4:NPI4"/>
    <mergeCell ref="NPJ4:NPT4"/>
    <mergeCell ref="NPU4:NQE4"/>
    <mergeCell ref="NQF4:NQP4"/>
    <mergeCell ref="NQQ4:NRA4"/>
    <mergeCell ref="NMV4:NNF4"/>
    <mergeCell ref="NNG4:NNQ4"/>
    <mergeCell ref="NNR4:NOB4"/>
    <mergeCell ref="NOC4:NOM4"/>
    <mergeCell ref="NON4:NOX4"/>
    <mergeCell ref="NKS4:NLC4"/>
    <mergeCell ref="NLD4:NLN4"/>
    <mergeCell ref="NLO4:NLY4"/>
    <mergeCell ref="NLZ4:NMJ4"/>
    <mergeCell ref="NMK4:NMU4"/>
    <mergeCell ref="NIP4:NIZ4"/>
    <mergeCell ref="NJA4:NJK4"/>
    <mergeCell ref="NJL4:NJV4"/>
    <mergeCell ref="NJW4:NKG4"/>
    <mergeCell ref="NKH4:NKR4"/>
    <mergeCell ref="NGM4:NGW4"/>
    <mergeCell ref="NGX4:NHH4"/>
    <mergeCell ref="NHI4:NHS4"/>
    <mergeCell ref="NHT4:NID4"/>
    <mergeCell ref="NIE4:NIO4"/>
    <mergeCell ref="NEJ4:NET4"/>
    <mergeCell ref="NEU4:NFE4"/>
    <mergeCell ref="NFF4:NFP4"/>
    <mergeCell ref="NFQ4:NGA4"/>
    <mergeCell ref="NGB4:NGL4"/>
    <mergeCell ref="NCG4:NCQ4"/>
    <mergeCell ref="NCR4:NDB4"/>
    <mergeCell ref="NDC4:NDM4"/>
    <mergeCell ref="NDN4:NDX4"/>
    <mergeCell ref="NDY4:NEI4"/>
    <mergeCell ref="NAD4:NAN4"/>
    <mergeCell ref="NAO4:NAY4"/>
    <mergeCell ref="NAZ4:NBJ4"/>
    <mergeCell ref="NBK4:NBU4"/>
    <mergeCell ref="NBV4:NCF4"/>
    <mergeCell ref="MYA4:MYK4"/>
    <mergeCell ref="MYL4:MYV4"/>
    <mergeCell ref="MYW4:MZG4"/>
    <mergeCell ref="MZH4:MZR4"/>
    <mergeCell ref="MZS4:NAC4"/>
    <mergeCell ref="MVX4:MWH4"/>
    <mergeCell ref="MWI4:MWS4"/>
    <mergeCell ref="MWT4:MXD4"/>
    <mergeCell ref="MXE4:MXO4"/>
    <mergeCell ref="MXP4:MXZ4"/>
    <mergeCell ref="MTU4:MUE4"/>
    <mergeCell ref="MUF4:MUP4"/>
    <mergeCell ref="MUQ4:MVA4"/>
    <mergeCell ref="MVB4:MVL4"/>
    <mergeCell ref="MVM4:MVW4"/>
    <mergeCell ref="MRR4:MSB4"/>
    <mergeCell ref="MSC4:MSM4"/>
    <mergeCell ref="MSN4:MSX4"/>
    <mergeCell ref="MSY4:MTI4"/>
    <mergeCell ref="MTJ4:MTT4"/>
    <mergeCell ref="MPO4:MPY4"/>
    <mergeCell ref="MPZ4:MQJ4"/>
    <mergeCell ref="MQK4:MQU4"/>
    <mergeCell ref="MQV4:MRF4"/>
    <mergeCell ref="MRG4:MRQ4"/>
    <mergeCell ref="MNL4:MNV4"/>
    <mergeCell ref="MNW4:MOG4"/>
    <mergeCell ref="MOH4:MOR4"/>
    <mergeCell ref="MOS4:MPC4"/>
    <mergeCell ref="MPD4:MPN4"/>
    <mergeCell ref="MLI4:MLS4"/>
    <mergeCell ref="MLT4:MMD4"/>
    <mergeCell ref="MME4:MMO4"/>
    <mergeCell ref="MMP4:MMZ4"/>
    <mergeCell ref="MNA4:MNK4"/>
    <mergeCell ref="MJF4:MJP4"/>
    <mergeCell ref="MJQ4:MKA4"/>
    <mergeCell ref="MKB4:MKL4"/>
    <mergeCell ref="MKM4:MKW4"/>
    <mergeCell ref="MKX4:MLH4"/>
    <mergeCell ref="MHC4:MHM4"/>
    <mergeCell ref="MHN4:MHX4"/>
    <mergeCell ref="MHY4:MII4"/>
    <mergeCell ref="MIJ4:MIT4"/>
    <mergeCell ref="MIU4:MJE4"/>
    <mergeCell ref="MEZ4:MFJ4"/>
    <mergeCell ref="MFK4:MFU4"/>
    <mergeCell ref="MFV4:MGF4"/>
    <mergeCell ref="MGG4:MGQ4"/>
    <mergeCell ref="MGR4:MHB4"/>
    <mergeCell ref="MCW4:MDG4"/>
    <mergeCell ref="MDH4:MDR4"/>
    <mergeCell ref="MDS4:MEC4"/>
    <mergeCell ref="MED4:MEN4"/>
    <mergeCell ref="MEO4:MEY4"/>
    <mergeCell ref="MAT4:MBD4"/>
    <mergeCell ref="MBE4:MBO4"/>
    <mergeCell ref="MBP4:MBZ4"/>
    <mergeCell ref="MCA4:MCK4"/>
    <mergeCell ref="MCL4:MCV4"/>
    <mergeCell ref="LYQ4:LZA4"/>
    <mergeCell ref="LZB4:LZL4"/>
    <mergeCell ref="LZM4:LZW4"/>
    <mergeCell ref="LZX4:MAH4"/>
    <mergeCell ref="MAI4:MAS4"/>
    <mergeCell ref="LWN4:LWX4"/>
    <mergeCell ref="LWY4:LXI4"/>
    <mergeCell ref="LXJ4:LXT4"/>
    <mergeCell ref="LXU4:LYE4"/>
    <mergeCell ref="LYF4:LYP4"/>
    <mergeCell ref="LUK4:LUU4"/>
    <mergeCell ref="LUV4:LVF4"/>
    <mergeCell ref="LVG4:LVQ4"/>
    <mergeCell ref="LVR4:LWB4"/>
    <mergeCell ref="LWC4:LWM4"/>
    <mergeCell ref="LSH4:LSR4"/>
    <mergeCell ref="LSS4:LTC4"/>
    <mergeCell ref="LTD4:LTN4"/>
    <mergeCell ref="LTO4:LTY4"/>
    <mergeCell ref="LTZ4:LUJ4"/>
    <mergeCell ref="LQE4:LQO4"/>
    <mergeCell ref="LQP4:LQZ4"/>
    <mergeCell ref="LRA4:LRK4"/>
    <mergeCell ref="LRL4:LRV4"/>
    <mergeCell ref="LRW4:LSG4"/>
    <mergeCell ref="LOB4:LOL4"/>
    <mergeCell ref="LOM4:LOW4"/>
    <mergeCell ref="LOX4:LPH4"/>
    <mergeCell ref="LPI4:LPS4"/>
    <mergeCell ref="LPT4:LQD4"/>
    <mergeCell ref="LLY4:LMI4"/>
    <mergeCell ref="LMJ4:LMT4"/>
    <mergeCell ref="LMU4:LNE4"/>
    <mergeCell ref="LNF4:LNP4"/>
    <mergeCell ref="LNQ4:LOA4"/>
    <mergeCell ref="LJV4:LKF4"/>
    <mergeCell ref="LKG4:LKQ4"/>
    <mergeCell ref="LKR4:LLB4"/>
    <mergeCell ref="LLC4:LLM4"/>
    <mergeCell ref="LLN4:LLX4"/>
    <mergeCell ref="LHS4:LIC4"/>
    <mergeCell ref="LID4:LIN4"/>
    <mergeCell ref="LIO4:LIY4"/>
    <mergeCell ref="LIZ4:LJJ4"/>
    <mergeCell ref="LJK4:LJU4"/>
    <mergeCell ref="LFP4:LFZ4"/>
    <mergeCell ref="LGA4:LGK4"/>
    <mergeCell ref="LGL4:LGV4"/>
    <mergeCell ref="LGW4:LHG4"/>
    <mergeCell ref="LHH4:LHR4"/>
    <mergeCell ref="LDM4:LDW4"/>
    <mergeCell ref="LDX4:LEH4"/>
    <mergeCell ref="LEI4:LES4"/>
    <mergeCell ref="LET4:LFD4"/>
    <mergeCell ref="LFE4:LFO4"/>
    <mergeCell ref="LBJ4:LBT4"/>
    <mergeCell ref="LBU4:LCE4"/>
    <mergeCell ref="LCF4:LCP4"/>
    <mergeCell ref="LCQ4:LDA4"/>
    <mergeCell ref="LDB4:LDL4"/>
    <mergeCell ref="KZG4:KZQ4"/>
    <mergeCell ref="KZR4:LAB4"/>
    <mergeCell ref="LAC4:LAM4"/>
    <mergeCell ref="LAN4:LAX4"/>
    <mergeCell ref="LAY4:LBI4"/>
    <mergeCell ref="KXD4:KXN4"/>
    <mergeCell ref="KXO4:KXY4"/>
    <mergeCell ref="KXZ4:KYJ4"/>
    <mergeCell ref="KYK4:KYU4"/>
    <mergeCell ref="KYV4:KZF4"/>
    <mergeCell ref="KVA4:KVK4"/>
    <mergeCell ref="KVL4:KVV4"/>
    <mergeCell ref="KVW4:KWG4"/>
    <mergeCell ref="KWH4:KWR4"/>
    <mergeCell ref="KWS4:KXC4"/>
    <mergeCell ref="KSX4:KTH4"/>
    <mergeCell ref="KTI4:KTS4"/>
    <mergeCell ref="KTT4:KUD4"/>
    <mergeCell ref="KUE4:KUO4"/>
    <mergeCell ref="KUP4:KUZ4"/>
    <mergeCell ref="KQU4:KRE4"/>
    <mergeCell ref="KRF4:KRP4"/>
    <mergeCell ref="KRQ4:KSA4"/>
    <mergeCell ref="KSB4:KSL4"/>
    <mergeCell ref="KSM4:KSW4"/>
    <mergeCell ref="KOR4:KPB4"/>
    <mergeCell ref="KPC4:KPM4"/>
    <mergeCell ref="KPN4:KPX4"/>
    <mergeCell ref="KPY4:KQI4"/>
    <mergeCell ref="KQJ4:KQT4"/>
    <mergeCell ref="KMO4:KMY4"/>
    <mergeCell ref="KMZ4:KNJ4"/>
    <mergeCell ref="KNK4:KNU4"/>
    <mergeCell ref="KNV4:KOF4"/>
    <mergeCell ref="KOG4:KOQ4"/>
    <mergeCell ref="KKL4:KKV4"/>
    <mergeCell ref="KKW4:KLG4"/>
    <mergeCell ref="KLH4:KLR4"/>
    <mergeCell ref="KLS4:KMC4"/>
    <mergeCell ref="KMD4:KMN4"/>
    <mergeCell ref="KII4:KIS4"/>
    <mergeCell ref="KIT4:KJD4"/>
    <mergeCell ref="KJE4:KJO4"/>
    <mergeCell ref="KJP4:KJZ4"/>
    <mergeCell ref="KKA4:KKK4"/>
    <mergeCell ref="KGF4:KGP4"/>
    <mergeCell ref="KGQ4:KHA4"/>
    <mergeCell ref="KHB4:KHL4"/>
    <mergeCell ref="KHM4:KHW4"/>
    <mergeCell ref="KHX4:KIH4"/>
    <mergeCell ref="KEC4:KEM4"/>
    <mergeCell ref="KEN4:KEX4"/>
    <mergeCell ref="KEY4:KFI4"/>
    <mergeCell ref="KFJ4:KFT4"/>
    <mergeCell ref="KFU4:KGE4"/>
    <mergeCell ref="KBZ4:KCJ4"/>
    <mergeCell ref="KCK4:KCU4"/>
    <mergeCell ref="KCV4:KDF4"/>
    <mergeCell ref="KDG4:KDQ4"/>
    <mergeCell ref="KDR4:KEB4"/>
    <mergeCell ref="JZW4:KAG4"/>
    <mergeCell ref="KAH4:KAR4"/>
    <mergeCell ref="KAS4:KBC4"/>
    <mergeCell ref="KBD4:KBN4"/>
    <mergeCell ref="KBO4:KBY4"/>
    <mergeCell ref="JXT4:JYD4"/>
    <mergeCell ref="JYE4:JYO4"/>
    <mergeCell ref="JYP4:JYZ4"/>
    <mergeCell ref="JZA4:JZK4"/>
    <mergeCell ref="JZL4:JZV4"/>
    <mergeCell ref="JVQ4:JWA4"/>
    <mergeCell ref="JWB4:JWL4"/>
    <mergeCell ref="JWM4:JWW4"/>
    <mergeCell ref="JWX4:JXH4"/>
    <mergeCell ref="JXI4:JXS4"/>
    <mergeCell ref="JTN4:JTX4"/>
    <mergeCell ref="JTY4:JUI4"/>
    <mergeCell ref="JUJ4:JUT4"/>
    <mergeCell ref="JUU4:JVE4"/>
    <mergeCell ref="JVF4:JVP4"/>
    <mergeCell ref="JRK4:JRU4"/>
    <mergeCell ref="JRV4:JSF4"/>
    <mergeCell ref="JSG4:JSQ4"/>
    <mergeCell ref="JSR4:JTB4"/>
    <mergeCell ref="JTC4:JTM4"/>
    <mergeCell ref="JPH4:JPR4"/>
    <mergeCell ref="JPS4:JQC4"/>
    <mergeCell ref="JQD4:JQN4"/>
    <mergeCell ref="JQO4:JQY4"/>
    <mergeCell ref="JQZ4:JRJ4"/>
    <mergeCell ref="JNE4:JNO4"/>
    <mergeCell ref="JNP4:JNZ4"/>
    <mergeCell ref="JOA4:JOK4"/>
    <mergeCell ref="JOL4:JOV4"/>
    <mergeCell ref="JOW4:JPG4"/>
    <mergeCell ref="JLB4:JLL4"/>
    <mergeCell ref="JLM4:JLW4"/>
    <mergeCell ref="JLX4:JMH4"/>
    <mergeCell ref="JMI4:JMS4"/>
    <mergeCell ref="JMT4:JND4"/>
    <mergeCell ref="JIY4:JJI4"/>
    <mergeCell ref="JJJ4:JJT4"/>
    <mergeCell ref="JJU4:JKE4"/>
    <mergeCell ref="JKF4:JKP4"/>
    <mergeCell ref="JKQ4:JLA4"/>
    <mergeCell ref="JGV4:JHF4"/>
    <mergeCell ref="JHG4:JHQ4"/>
    <mergeCell ref="JHR4:JIB4"/>
    <mergeCell ref="JIC4:JIM4"/>
    <mergeCell ref="JIN4:JIX4"/>
    <mergeCell ref="JES4:JFC4"/>
    <mergeCell ref="JFD4:JFN4"/>
    <mergeCell ref="JFO4:JFY4"/>
    <mergeCell ref="JFZ4:JGJ4"/>
    <mergeCell ref="JGK4:JGU4"/>
    <mergeCell ref="JCP4:JCZ4"/>
    <mergeCell ref="JDA4:JDK4"/>
    <mergeCell ref="JDL4:JDV4"/>
    <mergeCell ref="JDW4:JEG4"/>
    <mergeCell ref="JEH4:JER4"/>
    <mergeCell ref="JAM4:JAW4"/>
    <mergeCell ref="JAX4:JBH4"/>
    <mergeCell ref="JBI4:JBS4"/>
    <mergeCell ref="JBT4:JCD4"/>
    <mergeCell ref="JCE4:JCO4"/>
    <mergeCell ref="IYJ4:IYT4"/>
    <mergeCell ref="IYU4:IZE4"/>
    <mergeCell ref="IZF4:IZP4"/>
    <mergeCell ref="IZQ4:JAA4"/>
    <mergeCell ref="JAB4:JAL4"/>
    <mergeCell ref="IWG4:IWQ4"/>
    <mergeCell ref="IWR4:IXB4"/>
    <mergeCell ref="IXC4:IXM4"/>
    <mergeCell ref="IXN4:IXX4"/>
    <mergeCell ref="IXY4:IYI4"/>
    <mergeCell ref="IUD4:IUN4"/>
    <mergeCell ref="IUO4:IUY4"/>
    <mergeCell ref="IUZ4:IVJ4"/>
    <mergeCell ref="IVK4:IVU4"/>
    <mergeCell ref="IVV4:IWF4"/>
    <mergeCell ref="ISA4:ISK4"/>
    <mergeCell ref="ISL4:ISV4"/>
    <mergeCell ref="ISW4:ITG4"/>
    <mergeCell ref="ITH4:ITR4"/>
    <mergeCell ref="ITS4:IUC4"/>
    <mergeCell ref="IPX4:IQH4"/>
    <mergeCell ref="IQI4:IQS4"/>
    <mergeCell ref="IQT4:IRD4"/>
    <mergeCell ref="IRE4:IRO4"/>
    <mergeCell ref="IRP4:IRZ4"/>
    <mergeCell ref="INU4:IOE4"/>
    <mergeCell ref="IOF4:IOP4"/>
    <mergeCell ref="IOQ4:IPA4"/>
    <mergeCell ref="IPB4:IPL4"/>
    <mergeCell ref="IPM4:IPW4"/>
    <mergeCell ref="ILR4:IMB4"/>
    <mergeCell ref="IMC4:IMM4"/>
    <mergeCell ref="IMN4:IMX4"/>
    <mergeCell ref="IMY4:INI4"/>
    <mergeCell ref="INJ4:INT4"/>
    <mergeCell ref="IJO4:IJY4"/>
    <mergeCell ref="IJZ4:IKJ4"/>
    <mergeCell ref="IKK4:IKU4"/>
    <mergeCell ref="IKV4:ILF4"/>
    <mergeCell ref="ILG4:ILQ4"/>
    <mergeCell ref="IHL4:IHV4"/>
    <mergeCell ref="IHW4:IIG4"/>
    <mergeCell ref="IIH4:IIR4"/>
    <mergeCell ref="IIS4:IJC4"/>
    <mergeCell ref="IJD4:IJN4"/>
    <mergeCell ref="IFI4:IFS4"/>
    <mergeCell ref="IFT4:IGD4"/>
    <mergeCell ref="IGE4:IGO4"/>
    <mergeCell ref="IGP4:IGZ4"/>
    <mergeCell ref="IHA4:IHK4"/>
    <mergeCell ref="IDF4:IDP4"/>
    <mergeCell ref="IDQ4:IEA4"/>
    <mergeCell ref="IEB4:IEL4"/>
    <mergeCell ref="IEM4:IEW4"/>
    <mergeCell ref="IEX4:IFH4"/>
    <mergeCell ref="IBC4:IBM4"/>
    <mergeCell ref="IBN4:IBX4"/>
    <mergeCell ref="IBY4:ICI4"/>
    <mergeCell ref="ICJ4:ICT4"/>
    <mergeCell ref="ICU4:IDE4"/>
    <mergeCell ref="HYZ4:HZJ4"/>
    <mergeCell ref="HZK4:HZU4"/>
    <mergeCell ref="HZV4:IAF4"/>
    <mergeCell ref="IAG4:IAQ4"/>
    <mergeCell ref="IAR4:IBB4"/>
    <mergeCell ref="HWW4:HXG4"/>
    <mergeCell ref="HXH4:HXR4"/>
    <mergeCell ref="HXS4:HYC4"/>
    <mergeCell ref="HYD4:HYN4"/>
    <mergeCell ref="HYO4:HYY4"/>
    <mergeCell ref="HUT4:HVD4"/>
    <mergeCell ref="HVE4:HVO4"/>
    <mergeCell ref="HVP4:HVZ4"/>
    <mergeCell ref="HWA4:HWK4"/>
    <mergeCell ref="HWL4:HWV4"/>
    <mergeCell ref="HSQ4:HTA4"/>
    <mergeCell ref="HTB4:HTL4"/>
    <mergeCell ref="HTM4:HTW4"/>
    <mergeCell ref="HTX4:HUH4"/>
    <mergeCell ref="HUI4:HUS4"/>
    <mergeCell ref="HQN4:HQX4"/>
    <mergeCell ref="HQY4:HRI4"/>
    <mergeCell ref="HRJ4:HRT4"/>
    <mergeCell ref="HRU4:HSE4"/>
    <mergeCell ref="HSF4:HSP4"/>
    <mergeCell ref="HOK4:HOU4"/>
    <mergeCell ref="HOV4:HPF4"/>
    <mergeCell ref="HPG4:HPQ4"/>
    <mergeCell ref="HPR4:HQB4"/>
    <mergeCell ref="HQC4:HQM4"/>
    <mergeCell ref="HMH4:HMR4"/>
    <mergeCell ref="HMS4:HNC4"/>
    <mergeCell ref="HND4:HNN4"/>
    <mergeCell ref="HNO4:HNY4"/>
    <mergeCell ref="HNZ4:HOJ4"/>
    <mergeCell ref="HKE4:HKO4"/>
    <mergeCell ref="HKP4:HKZ4"/>
    <mergeCell ref="HLA4:HLK4"/>
    <mergeCell ref="HLL4:HLV4"/>
    <mergeCell ref="HLW4:HMG4"/>
    <mergeCell ref="HIB4:HIL4"/>
    <mergeCell ref="HIM4:HIW4"/>
    <mergeCell ref="HIX4:HJH4"/>
    <mergeCell ref="HJI4:HJS4"/>
    <mergeCell ref="HJT4:HKD4"/>
    <mergeCell ref="HFY4:HGI4"/>
    <mergeCell ref="HGJ4:HGT4"/>
    <mergeCell ref="HGU4:HHE4"/>
    <mergeCell ref="HHF4:HHP4"/>
    <mergeCell ref="HHQ4:HIA4"/>
    <mergeCell ref="HDV4:HEF4"/>
    <mergeCell ref="HEG4:HEQ4"/>
    <mergeCell ref="HER4:HFB4"/>
    <mergeCell ref="HFC4:HFM4"/>
    <mergeCell ref="HFN4:HFX4"/>
    <mergeCell ref="HBS4:HCC4"/>
    <mergeCell ref="HCD4:HCN4"/>
    <mergeCell ref="HCO4:HCY4"/>
    <mergeCell ref="HCZ4:HDJ4"/>
    <mergeCell ref="HDK4:HDU4"/>
    <mergeCell ref="GZP4:GZZ4"/>
    <mergeCell ref="HAA4:HAK4"/>
    <mergeCell ref="HAL4:HAV4"/>
    <mergeCell ref="HAW4:HBG4"/>
    <mergeCell ref="HBH4:HBR4"/>
    <mergeCell ref="GXM4:GXW4"/>
    <mergeCell ref="GXX4:GYH4"/>
    <mergeCell ref="GYI4:GYS4"/>
    <mergeCell ref="GYT4:GZD4"/>
    <mergeCell ref="GZE4:GZO4"/>
    <mergeCell ref="GVJ4:GVT4"/>
    <mergeCell ref="GVU4:GWE4"/>
    <mergeCell ref="GWF4:GWP4"/>
    <mergeCell ref="GWQ4:GXA4"/>
    <mergeCell ref="GXB4:GXL4"/>
    <mergeCell ref="GTG4:GTQ4"/>
    <mergeCell ref="GTR4:GUB4"/>
    <mergeCell ref="GUC4:GUM4"/>
    <mergeCell ref="GUN4:GUX4"/>
    <mergeCell ref="GUY4:GVI4"/>
    <mergeCell ref="GRD4:GRN4"/>
    <mergeCell ref="GRO4:GRY4"/>
    <mergeCell ref="GRZ4:GSJ4"/>
    <mergeCell ref="GSK4:GSU4"/>
    <mergeCell ref="GSV4:GTF4"/>
    <mergeCell ref="GPA4:GPK4"/>
    <mergeCell ref="GPL4:GPV4"/>
    <mergeCell ref="GPW4:GQG4"/>
    <mergeCell ref="GQH4:GQR4"/>
    <mergeCell ref="GQS4:GRC4"/>
    <mergeCell ref="GMX4:GNH4"/>
    <mergeCell ref="GNI4:GNS4"/>
    <mergeCell ref="GNT4:GOD4"/>
    <mergeCell ref="GOE4:GOO4"/>
    <mergeCell ref="GOP4:GOZ4"/>
    <mergeCell ref="GKU4:GLE4"/>
    <mergeCell ref="GLF4:GLP4"/>
    <mergeCell ref="GLQ4:GMA4"/>
    <mergeCell ref="GMB4:GML4"/>
    <mergeCell ref="GMM4:GMW4"/>
    <mergeCell ref="GIR4:GJB4"/>
    <mergeCell ref="GJC4:GJM4"/>
    <mergeCell ref="GJN4:GJX4"/>
    <mergeCell ref="GJY4:GKI4"/>
    <mergeCell ref="GKJ4:GKT4"/>
    <mergeCell ref="GGO4:GGY4"/>
    <mergeCell ref="GGZ4:GHJ4"/>
    <mergeCell ref="GHK4:GHU4"/>
    <mergeCell ref="GHV4:GIF4"/>
    <mergeCell ref="GIG4:GIQ4"/>
    <mergeCell ref="GEL4:GEV4"/>
    <mergeCell ref="GEW4:GFG4"/>
    <mergeCell ref="GFH4:GFR4"/>
    <mergeCell ref="GFS4:GGC4"/>
    <mergeCell ref="GGD4:GGN4"/>
    <mergeCell ref="GCI4:GCS4"/>
    <mergeCell ref="GCT4:GDD4"/>
    <mergeCell ref="GDE4:GDO4"/>
    <mergeCell ref="GDP4:GDZ4"/>
    <mergeCell ref="GEA4:GEK4"/>
    <mergeCell ref="GAF4:GAP4"/>
    <mergeCell ref="GAQ4:GBA4"/>
    <mergeCell ref="GBB4:GBL4"/>
    <mergeCell ref="GBM4:GBW4"/>
    <mergeCell ref="GBX4:GCH4"/>
    <mergeCell ref="FYC4:FYM4"/>
    <mergeCell ref="FYN4:FYX4"/>
    <mergeCell ref="FYY4:FZI4"/>
    <mergeCell ref="FZJ4:FZT4"/>
    <mergeCell ref="FZU4:GAE4"/>
    <mergeCell ref="FVZ4:FWJ4"/>
    <mergeCell ref="FWK4:FWU4"/>
    <mergeCell ref="FWV4:FXF4"/>
    <mergeCell ref="FXG4:FXQ4"/>
    <mergeCell ref="FXR4:FYB4"/>
    <mergeCell ref="FTW4:FUG4"/>
    <mergeCell ref="FUH4:FUR4"/>
    <mergeCell ref="FUS4:FVC4"/>
    <mergeCell ref="FVD4:FVN4"/>
    <mergeCell ref="FVO4:FVY4"/>
    <mergeCell ref="FRT4:FSD4"/>
    <mergeCell ref="FSE4:FSO4"/>
    <mergeCell ref="FSP4:FSZ4"/>
    <mergeCell ref="FTA4:FTK4"/>
    <mergeCell ref="FTL4:FTV4"/>
    <mergeCell ref="FPQ4:FQA4"/>
    <mergeCell ref="FQB4:FQL4"/>
    <mergeCell ref="FQM4:FQW4"/>
    <mergeCell ref="FQX4:FRH4"/>
    <mergeCell ref="FRI4:FRS4"/>
    <mergeCell ref="FNN4:FNX4"/>
    <mergeCell ref="FNY4:FOI4"/>
    <mergeCell ref="FOJ4:FOT4"/>
    <mergeCell ref="FOU4:FPE4"/>
    <mergeCell ref="FPF4:FPP4"/>
    <mergeCell ref="FLK4:FLU4"/>
    <mergeCell ref="FLV4:FMF4"/>
    <mergeCell ref="FMG4:FMQ4"/>
    <mergeCell ref="FMR4:FNB4"/>
    <mergeCell ref="FNC4:FNM4"/>
    <mergeCell ref="FJH4:FJR4"/>
    <mergeCell ref="FJS4:FKC4"/>
    <mergeCell ref="FKD4:FKN4"/>
    <mergeCell ref="FKO4:FKY4"/>
    <mergeCell ref="FKZ4:FLJ4"/>
    <mergeCell ref="FHE4:FHO4"/>
    <mergeCell ref="FHP4:FHZ4"/>
    <mergeCell ref="FIA4:FIK4"/>
    <mergeCell ref="FIL4:FIV4"/>
    <mergeCell ref="FIW4:FJG4"/>
    <mergeCell ref="FFB4:FFL4"/>
    <mergeCell ref="FFM4:FFW4"/>
    <mergeCell ref="FFX4:FGH4"/>
    <mergeCell ref="FGI4:FGS4"/>
    <mergeCell ref="FGT4:FHD4"/>
    <mergeCell ref="FCY4:FDI4"/>
    <mergeCell ref="FDJ4:FDT4"/>
    <mergeCell ref="FDU4:FEE4"/>
    <mergeCell ref="FEF4:FEP4"/>
    <mergeCell ref="FEQ4:FFA4"/>
    <mergeCell ref="FAV4:FBF4"/>
    <mergeCell ref="FBG4:FBQ4"/>
    <mergeCell ref="FBR4:FCB4"/>
    <mergeCell ref="FCC4:FCM4"/>
    <mergeCell ref="FCN4:FCX4"/>
    <mergeCell ref="EYS4:EZC4"/>
    <mergeCell ref="EZD4:EZN4"/>
    <mergeCell ref="EZO4:EZY4"/>
    <mergeCell ref="EZZ4:FAJ4"/>
    <mergeCell ref="FAK4:FAU4"/>
    <mergeCell ref="EWP4:EWZ4"/>
    <mergeCell ref="EXA4:EXK4"/>
    <mergeCell ref="EXL4:EXV4"/>
    <mergeCell ref="EXW4:EYG4"/>
    <mergeCell ref="EYH4:EYR4"/>
    <mergeCell ref="EUM4:EUW4"/>
    <mergeCell ref="EUX4:EVH4"/>
    <mergeCell ref="EVI4:EVS4"/>
    <mergeCell ref="EVT4:EWD4"/>
    <mergeCell ref="EWE4:EWO4"/>
    <mergeCell ref="ESJ4:EST4"/>
    <mergeCell ref="ESU4:ETE4"/>
    <mergeCell ref="ETF4:ETP4"/>
    <mergeCell ref="ETQ4:EUA4"/>
    <mergeCell ref="EUB4:EUL4"/>
    <mergeCell ref="EQG4:EQQ4"/>
    <mergeCell ref="EQR4:ERB4"/>
    <mergeCell ref="ERC4:ERM4"/>
    <mergeCell ref="ERN4:ERX4"/>
    <mergeCell ref="ERY4:ESI4"/>
    <mergeCell ref="EOD4:EON4"/>
    <mergeCell ref="EOO4:EOY4"/>
    <mergeCell ref="EOZ4:EPJ4"/>
    <mergeCell ref="EPK4:EPU4"/>
    <mergeCell ref="EPV4:EQF4"/>
    <mergeCell ref="EMA4:EMK4"/>
    <mergeCell ref="EML4:EMV4"/>
    <mergeCell ref="EMW4:ENG4"/>
    <mergeCell ref="ENH4:ENR4"/>
    <mergeCell ref="ENS4:EOC4"/>
    <mergeCell ref="EJX4:EKH4"/>
    <mergeCell ref="EKI4:EKS4"/>
    <mergeCell ref="EKT4:ELD4"/>
    <mergeCell ref="ELE4:ELO4"/>
    <mergeCell ref="ELP4:ELZ4"/>
    <mergeCell ref="EHU4:EIE4"/>
    <mergeCell ref="EIF4:EIP4"/>
    <mergeCell ref="EIQ4:EJA4"/>
    <mergeCell ref="EJB4:EJL4"/>
    <mergeCell ref="EJM4:EJW4"/>
    <mergeCell ref="EFR4:EGB4"/>
    <mergeCell ref="EGC4:EGM4"/>
    <mergeCell ref="EGN4:EGX4"/>
    <mergeCell ref="EGY4:EHI4"/>
    <mergeCell ref="EHJ4:EHT4"/>
    <mergeCell ref="EDO4:EDY4"/>
    <mergeCell ref="EDZ4:EEJ4"/>
    <mergeCell ref="EEK4:EEU4"/>
    <mergeCell ref="EEV4:EFF4"/>
    <mergeCell ref="EFG4:EFQ4"/>
    <mergeCell ref="EBL4:EBV4"/>
    <mergeCell ref="EBW4:ECG4"/>
    <mergeCell ref="ECH4:ECR4"/>
    <mergeCell ref="ECS4:EDC4"/>
    <mergeCell ref="EDD4:EDN4"/>
    <mergeCell ref="DZI4:DZS4"/>
    <mergeCell ref="DZT4:EAD4"/>
    <mergeCell ref="EAE4:EAO4"/>
    <mergeCell ref="EAP4:EAZ4"/>
    <mergeCell ref="EBA4:EBK4"/>
    <mergeCell ref="DXF4:DXP4"/>
    <mergeCell ref="DXQ4:DYA4"/>
    <mergeCell ref="DYB4:DYL4"/>
    <mergeCell ref="DYM4:DYW4"/>
    <mergeCell ref="DYX4:DZH4"/>
    <mergeCell ref="DVC4:DVM4"/>
    <mergeCell ref="DVN4:DVX4"/>
    <mergeCell ref="DVY4:DWI4"/>
    <mergeCell ref="DWJ4:DWT4"/>
    <mergeCell ref="DWU4:DXE4"/>
    <mergeCell ref="DSZ4:DTJ4"/>
    <mergeCell ref="DTK4:DTU4"/>
    <mergeCell ref="DTV4:DUF4"/>
    <mergeCell ref="DUG4:DUQ4"/>
    <mergeCell ref="DUR4:DVB4"/>
    <mergeCell ref="DQW4:DRG4"/>
    <mergeCell ref="DRH4:DRR4"/>
    <mergeCell ref="DRS4:DSC4"/>
    <mergeCell ref="DSD4:DSN4"/>
    <mergeCell ref="DSO4:DSY4"/>
    <mergeCell ref="DOT4:DPD4"/>
    <mergeCell ref="DPE4:DPO4"/>
    <mergeCell ref="DPP4:DPZ4"/>
    <mergeCell ref="DQA4:DQK4"/>
    <mergeCell ref="DQL4:DQV4"/>
    <mergeCell ref="DMQ4:DNA4"/>
    <mergeCell ref="DNB4:DNL4"/>
    <mergeCell ref="DNM4:DNW4"/>
    <mergeCell ref="DNX4:DOH4"/>
    <mergeCell ref="DOI4:DOS4"/>
    <mergeCell ref="DKN4:DKX4"/>
    <mergeCell ref="DKY4:DLI4"/>
    <mergeCell ref="DLJ4:DLT4"/>
    <mergeCell ref="DLU4:DME4"/>
    <mergeCell ref="DMF4:DMP4"/>
    <mergeCell ref="DIK4:DIU4"/>
    <mergeCell ref="DIV4:DJF4"/>
    <mergeCell ref="DJG4:DJQ4"/>
    <mergeCell ref="DJR4:DKB4"/>
    <mergeCell ref="DKC4:DKM4"/>
    <mergeCell ref="DGH4:DGR4"/>
    <mergeCell ref="DGS4:DHC4"/>
    <mergeCell ref="DHD4:DHN4"/>
    <mergeCell ref="DHO4:DHY4"/>
    <mergeCell ref="DHZ4:DIJ4"/>
    <mergeCell ref="DEE4:DEO4"/>
    <mergeCell ref="DEP4:DEZ4"/>
    <mergeCell ref="DFA4:DFK4"/>
    <mergeCell ref="DFL4:DFV4"/>
    <mergeCell ref="DFW4:DGG4"/>
    <mergeCell ref="DCB4:DCL4"/>
    <mergeCell ref="DCM4:DCW4"/>
    <mergeCell ref="DCX4:DDH4"/>
    <mergeCell ref="DDI4:DDS4"/>
    <mergeCell ref="DDT4:DED4"/>
    <mergeCell ref="CZY4:DAI4"/>
    <mergeCell ref="DAJ4:DAT4"/>
    <mergeCell ref="DAU4:DBE4"/>
    <mergeCell ref="DBF4:DBP4"/>
    <mergeCell ref="DBQ4:DCA4"/>
    <mergeCell ref="CXV4:CYF4"/>
    <mergeCell ref="CYG4:CYQ4"/>
    <mergeCell ref="CYR4:CZB4"/>
    <mergeCell ref="CZC4:CZM4"/>
    <mergeCell ref="CZN4:CZX4"/>
    <mergeCell ref="CVS4:CWC4"/>
    <mergeCell ref="CWD4:CWN4"/>
    <mergeCell ref="CWO4:CWY4"/>
    <mergeCell ref="CWZ4:CXJ4"/>
    <mergeCell ref="CXK4:CXU4"/>
    <mergeCell ref="CTP4:CTZ4"/>
    <mergeCell ref="CUA4:CUK4"/>
    <mergeCell ref="CUL4:CUV4"/>
    <mergeCell ref="CUW4:CVG4"/>
    <mergeCell ref="CVH4:CVR4"/>
    <mergeCell ref="CRM4:CRW4"/>
    <mergeCell ref="CRX4:CSH4"/>
    <mergeCell ref="CSI4:CSS4"/>
    <mergeCell ref="CST4:CTD4"/>
    <mergeCell ref="CTE4:CTO4"/>
    <mergeCell ref="CPJ4:CPT4"/>
    <mergeCell ref="CPU4:CQE4"/>
    <mergeCell ref="CQF4:CQP4"/>
    <mergeCell ref="CQQ4:CRA4"/>
    <mergeCell ref="CRB4:CRL4"/>
    <mergeCell ref="CNG4:CNQ4"/>
    <mergeCell ref="CNR4:COB4"/>
    <mergeCell ref="COC4:COM4"/>
    <mergeCell ref="CON4:COX4"/>
    <mergeCell ref="COY4:CPI4"/>
    <mergeCell ref="CLD4:CLN4"/>
    <mergeCell ref="CLO4:CLY4"/>
    <mergeCell ref="CLZ4:CMJ4"/>
    <mergeCell ref="CMK4:CMU4"/>
    <mergeCell ref="CMV4:CNF4"/>
    <mergeCell ref="CJA4:CJK4"/>
    <mergeCell ref="CJL4:CJV4"/>
    <mergeCell ref="CJW4:CKG4"/>
    <mergeCell ref="CKH4:CKR4"/>
    <mergeCell ref="CKS4:CLC4"/>
    <mergeCell ref="CGX4:CHH4"/>
    <mergeCell ref="CHI4:CHS4"/>
    <mergeCell ref="CHT4:CID4"/>
    <mergeCell ref="CIE4:CIO4"/>
    <mergeCell ref="CIP4:CIZ4"/>
    <mergeCell ref="CEU4:CFE4"/>
    <mergeCell ref="CFF4:CFP4"/>
    <mergeCell ref="CFQ4:CGA4"/>
    <mergeCell ref="CGB4:CGL4"/>
    <mergeCell ref="CGM4:CGW4"/>
    <mergeCell ref="CCR4:CDB4"/>
    <mergeCell ref="CDC4:CDM4"/>
    <mergeCell ref="CDN4:CDX4"/>
    <mergeCell ref="CDY4:CEI4"/>
    <mergeCell ref="CEJ4:CET4"/>
    <mergeCell ref="CAO4:CAY4"/>
    <mergeCell ref="CAZ4:CBJ4"/>
    <mergeCell ref="CBK4:CBU4"/>
    <mergeCell ref="CBV4:CCF4"/>
    <mergeCell ref="CCG4:CCQ4"/>
    <mergeCell ref="BYL4:BYV4"/>
    <mergeCell ref="BYW4:BZG4"/>
    <mergeCell ref="BZH4:BZR4"/>
    <mergeCell ref="BZS4:CAC4"/>
    <mergeCell ref="CAD4:CAN4"/>
    <mergeCell ref="BWI4:BWS4"/>
    <mergeCell ref="BWT4:BXD4"/>
    <mergeCell ref="BXE4:BXO4"/>
    <mergeCell ref="BXP4:BXZ4"/>
    <mergeCell ref="BYA4:BYK4"/>
    <mergeCell ref="BUF4:BUP4"/>
    <mergeCell ref="BUQ4:BVA4"/>
    <mergeCell ref="BVB4:BVL4"/>
    <mergeCell ref="BVM4:BVW4"/>
    <mergeCell ref="BVX4:BWH4"/>
    <mergeCell ref="BSC4:BSM4"/>
    <mergeCell ref="BSN4:BSX4"/>
    <mergeCell ref="BSY4:BTI4"/>
    <mergeCell ref="BTJ4:BTT4"/>
    <mergeCell ref="BTU4:BUE4"/>
    <mergeCell ref="BPZ4:BQJ4"/>
    <mergeCell ref="BQK4:BQU4"/>
    <mergeCell ref="BQV4:BRF4"/>
    <mergeCell ref="BRG4:BRQ4"/>
    <mergeCell ref="BRR4:BSB4"/>
    <mergeCell ref="BNW4:BOG4"/>
    <mergeCell ref="BOH4:BOR4"/>
    <mergeCell ref="BOS4:BPC4"/>
    <mergeCell ref="BPD4:BPN4"/>
    <mergeCell ref="BPO4:BPY4"/>
    <mergeCell ref="BLT4:BMD4"/>
    <mergeCell ref="BME4:BMO4"/>
    <mergeCell ref="BMP4:BMZ4"/>
    <mergeCell ref="BNA4:BNK4"/>
    <mergeCell ref="BNL4:BNV4"/>
    <mergeCell ref="BJQ4:BKA4"/>
    <mergeCell ref="BKB4:BKL4"/>
    <mergeCell ref="BKM4:BKW4"/>
    <mergeCell ref="BKX4:BLH4"/>
    <mergeCell ref="BLI4:BLS4"/>
    <mergeCell ref="BHN4:BHX4"/>
    <mergeCell ref="BHY4:BII4"/>
    <mergeCell ref="BIJ4:BIT4"/>
    <mergeCell ref="BIU4:BJE4"/>
    <mergeCell ref="BJF4:BJP4"/>
    <mergeCell ref="BFK4:BFU4"/>
    <mergeCell ref="BFV4:BGF4"/>
    <mergeCell ref="BGG4:BGQ4"/>
    <mergeCell ref="BGR4:BHB4"/>
    <mergeCell ref="BHC4:BHM4"/>
    <mergeCell ref="BDH4:BDR4"/>
    <mergeCell ref="BDS4:BEC4"/>
    <mergeCell ref="BED4:BEN4"/>
    <mergeCell ref="BEO4:BEY4"/>
    <mergeCell ref="BEZ4:BFJ4"/>
    <mergeCell ref="BBE4:BBO4"/>
    <mergeCell ref="BBP4:BBZ4"/>
    <mergeCell ref="BCA4:BCK4"/>
    <mergeCell ref="BCL4:BCV4"/>
    <mergeCell ref="BCW4:BDG4"/>
    <mergeCell ref="AZB4:AZL4"/>
    <mergeCell ref="AZM4:AZW4"/>
    <mergeCell ref="AZX4:BAH4"/>
    <mergeCell ref="BAI4:BAS4"/>
    <mergeCell ref="BAT4:BBD4"/>
    <mergeCell ref="AWY4:AXI4"/>
    <mergeCell ref="AXJ4:AXT4"/>
    <mergeCell ref="AXU4:AYE4"/>
    <mergeCell ref="AYF4:AYP4"/>
    <mergeCell ref="AYQ4:AZA4"/>
    <mergeCell ref="AUV4:AVF4"/>
    <mergeCell ref="AVG4:AVQ4"/>
    <mergeCell ref="AVR4:AWB4"/>
    <mergeCell ref="AWC4:AWM4"/>
    <mergeCell ref="AWN4:AWX4"/>
    <mergeCell ref="ASS4:ATC4"/>
    <mergeCell ref="ATD4:ATN4"/>
    <mergeCell ref="ATO4:ATY4"/>
    <mergeCell ref="ATZ4:AUJ4"/>
    <mergeCell ref="AUK4:AUU4"/>
    <mergeCell ref="AQP4:AQZ4"/>
    <mergeCell ref="ARA4:ARK4"/>
    <mergeCell ref="ARL4:ARV4"/>
    <mergeCell ref="ARW4:ASG4"/>
    <mergeCell ref="ASH4:ASR4"/>
    <mergeCell ref="AOM4:AOW4"/>
    <mergeCell ref="AOX4:APH4"/>
    <mergeCell ref="API4:APS4"/>
    <mergeCell ref="APT4:AQD4"/>
    <mergeCell ref="AQE4:AQO4"/>
    <mergeCell ref="AMJ4:AMT4"/>
    <mergeCell ref="AMU4:ANE4"/>
    <mergeCell ref="ANF4:ANP4"/>
    <mergeCell ref="ANQ4:AOA4"/>
    <mergeCell ref="AOB4:AOL4"/>
    <mergeCell ref="AKG4:AKQ4"/>
    <mergeCell ref="AKR4:ALB4"/>
    <mergeCell ref="ALC4:ALM4"/>
    <mergeCell ref="ALN4:ALX4"/>
    <mergeCell ref="ALY4:AMI4"/>
    <mergeCell ref="AID4:AIN4"/>
    <mergeCell ref="AIO4:AIY4"/>
    <mergeCell ref="AIZ4:AJJ4"/>
    <mergeCell ref="AJK4:AJU4"/>
    <mergeCell ref="AJV4:AKF4"/>
    <mergeCell ref="AGA4:AGK4"/>
    <mergeCell ref="AGL4:AGV4"/>
    <mergeCell ref="AGW4:AHG4"/>
    <mergeCell ref="AHH4:AHR4"/>
    <mergeCell ref="AHS4:AIC4"/>
    <mergeCell ref="ADX4:AEH4"/>
    <mergeCell ref="AEI4:AES4"/>
    <mergeCell ref="AET4:AFD4"/>
    <mergeCell ref="AFE4:AFO4"/>
    <mergeCell ref="AFP4:AFZ4"/>
    <mergeCell ref="ABU4:ACE4"/>
    <mergeCell ref="ACF4:ACP4"/>
    <mergeCell ref="ACQ4:ADA4"/>
    <mergeCell ref="ADB4:ADL4"/>
    <mergeCell ref="ADM4:ADW4"/>
    <mergeCell ref="ZR4:AAB4"/>
    <mergeCell ref="AAC4:AAM4"/>
    <mergeCell ref="AAN4:AAX4"/>
    <mergeCell ref="AAY4:ABI4"/>
    <mergeCell ref="ABJ4:ABT4"/>
    <mergeCell ref="XO4:XY4"/>
    <mergeCell ref="XZ4:YJ4"/>
    <mergeCell ref="YK4:YU4"/>
    <mergeCell ref="YV4:ZF4"/>
    <mergeCell ref="ZG4:ZQ4"/>
    <mergeCell ref="VL4:VV4"/>
    <mergeCell ref="VW4:WG4"/>
    <mergeCell ref="WH4:WR4"/>
    <mergeCell ref="WS4:XC4"/>
    <mergeCell ref="XD4:XN4"/>
    <mergeCell ref="TI4:TS4"/>
    <mergeCell ref="TT4:UD4"/>
    <mergeCell ref="UE4:UO4"/>
    <mergeCell ref="UP4:UZ4"/>
    <mergeCell ref="VA4:VK4"/>
    <mergeCell ref="RF4:RP4"/>
    <mergeCell ref="RQ4:SA4"/>
    <mergeCell ref="SB4:SL4"/>
    <mergeCell ref="SM4:SW4"/>
    <mergeCell ref="SX4:TH4"/>
    <mergeCell ref="PC4:PM4"/>
    <mergeCell ref="PN4:PX4"/>
    <mergeCell ref="PY4:QI4"/>
    <mergeCell ref="QJ4:QT4"/>
    <mergeCell ref="QU4:RE4"/>
    <mergeCell ref="MZ4:NJ4"/>
    <mergeCell ref="NK4:NU4"/>
    <mergeCell ref="NV4:OF4"/>
    <mergeCell ref="OG4:OQ4"/>
    <mergeCell ref="OR4:PB4"/>
    <mergeCell ref="KW4:LG4"/>
    <mergeCell ref="LH4:LR4"/>
    <mergeCell ref="LS4:MC4"/>
    <mergeCell ref="MD4:MN4"/>
    <mergeCell ref="MO4:MY4"/>
    <mergeCell ref="IT4:JD4"/>
    <mergeCell ref="JE4:JO4"/>
    <mergeCell ref="JP4:JZ4"/>
    <mergeCell ref="KA4:KK4"/>
    <mergeCell ref="KL4:KV4"/>
    <mergeCell ref="GQ4:HA4"/>
    <mergeCell ref="HB4:HL4"/>
    <mergeCell ref="HM4:HW4"/>
    <mergeCell ref="HX4:IH4"/>
    <mergeCell ref="II4:IS4"/>
    <mergeCell ref="EN4:EX4"/>
    <mergeCell ref="EY4:FI4"/>
    <mergeCell ref="FJ4:FT4"/>
    <mergeCell ref="FU4:GE4"/>
    <mergeCell ref="GF4:GP4"/>
    <mergeCell ref="A1:K1"/>
    <mergeCell ref="A2:K2"/>
    <mergeCell ref="A3:K3"/>
    <mergeCell ref="CK4:CU4"/>
    <mergeCell ref="CV4:DF4"/>
    <mergeCell ref="DG4:DQ4"/>
    <mergeCell ref="DR4:EB4"/>
    <mergeCell ref="EC4:EM4"/>
    <mergeCell ref="AH4:AR4"/>
    <mergeCell ref="AS4:BC4"/>
    <mergeCell ref="BD4:BN4"/>
    <mergeCell ref="BO4:BY4"/>
    <mergeCell ref="BZ4:CJ4"/>
    <mergeCell ref="A5:K5"/>
    <mergeCell ref="A6:K6"/>
    <mergeCell ref="A4:K4"/>
    <mergeCell ref="L4:V4"/>
    <mergeCell ref="W4:AG4"/>
  </mergeCells>
  <phoneticPr fontId="18" type="noConversion"/>
  <printOptions horizontalCentered="1"/>
  <pageMargins left="0.75" right="0.75" top="1" bottom="1" header="0.5" footer="0.5"/>
  <pageSetup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2"/>
  <sheetViews>
    <sheetView topLeftCell="A4" zoomScaleNormal="100" zoomScaleSheetLayoutView="100" workbookViewId="0">
      <selection sqref="A1:XFD1048576"/>
    </sheetView>
  </sheetViews>
  <sheetFormatPr defaultColWidth="9.140625" defaultRowHeight="12.75"/>
  <cols>
    <col min="1" max="1" width="32.42578125" style="193" customWidth="1"/>
    <col min="2" max="2" width="1.28515625" style="193" customWidth="1"/>
    <col min="3" max="3" width="15.42578125" style="540" bestFit="1" customWidth="1"/>
    <col min="4" max="4" width="1.7109375" style="193" customWidth="1"/>
    <col min="5" max="5" width="19.5703125" style="540" customWidth="1"/>
    <col min="6" max="6" width="1.140625" style="193" customWidth="1"/>
    <col min="7" max="7" width="10.85546875" style="193" bestFit="1" customWidth="1"/>
    <col min="8" max="8" width="9.42578125" style="540" bestFit="1" customWidth="1"/>
    <col min="9" max="16384" width="9.140625" style="193"/>
  </cols>
  <sheetData>
    <row r="1" spans="1:9">
      <c r="A1" s="563" t="s">
        <v>459</v>
      </c>
      <c r="B1" s="563"/>
      <c r="C1" s="563"/>
      <c r="D1" s="563"/>
      <c r="E1" s="563"/>
      <c r="F1" s="563"/>
      <c r="G1" s="563"/>
      <c r="H1" s="563"/>
      <c r="I1" s="563"/>
    </row>
    <row r="2" spans="1:9">
      <c r="A2" s="563" t="s">
        <v>1038</v>
      </c>
      <c r="B2" s="563"/>
      <c r="C2" s="563"/>
      <c r="D2" s="563"/>
      <c r="E2" s="563"/>
      <c r="F2" s="563"/>
      <c r="G2" s="563"/>
      <c r="H2" s="563"/>
      <c r="I2" s="563"/>
    </row>
    <row r="3" spans="1:9">
      <c r="A3" s="563" t="str">
        <f>'Title Page'!A10</f>
        <v>FOR THE TWELVE MONTHS ENDED DECEMBER 31, 2023</v>
      </c>
      <c r="B3" s="563"/>
      <c r="C3" s="563"/>
      <c r="D3" s="563"/>
      <c r="E3" s="563"/>
      <c r="F3" s="563"/>
      <c r="G3" s="563"/>
      <c r="H3" s="563"/>
      <c r="I3" s="563"/>
    </row>
    <row r="5" spans="1:9">
      <c r="A5" s="564"/>
      <c r="B5" s="564"/>
      <c r="C5" s="564"/>
      <c r="D5" s="564"/>
      <c r="E5" s="564"/>
      <c r="F5" s="564"/>
      <c r="G5" s="564"/>
      <c r="H5" s="564"/>
    </row>
    <row r="6" spans="1:9">
      <c r="A6" s="564" t="s">
        <v>625</v>
      </c>
      <c r="B6" s="564"/>
      <c r="C6" s="564"/>
      <c r="D6" s="564"/>
      <c r="E6" s="564"/>
      <c r="F6" s="564"/>
      <c r="G6" s="564"/>
      <c r="H6" s="564"/>
      <c r="I6" s="564"/>
    </row>
    <row r="7" spans="1:9">
      <c r="A7" s="564"/>
      <c r="B7" s="564"/>
      <c r="C7" s="564"/>
      <c r="D7" s="564"/>
      <c r="E7" s="564"/>
      <c r="F7" s="564"/>
      <c r="G7" s="564"/>
      <c r="H7" s="564"/>
    </row>
    <row r="8" spans="1:9">
      <c r="A8" s="563"/>
      <c r="B8" s="563"/>
      <c r="C8" s="563"/>
      <c r="D8" s="563"/>
      <c r="E8" s="563"/>
      <c r="F8" s="563"/>
      <c r="G8" s="563"/>
      <c r="H8" s="563"/>
    </row>
    <row r="13" spans="1:9">
      <c r="H13" s="540" t="s">
        <v>626</v>
      </c>
    </row>
    <row r="14" spans="1:9" s="540" customFormat="1">
      <c r="C14" s="540" t="s">
        <v>453</v>
      </c>
      <c r="E14" s="540" t="s">
        <v>114</v>
      </c>
      <c r="G14" s="540" t="s">
        <v>627</v>
      </c>
      <c r="H14" s="540" t="s">
        <v>628</v>
      </c>
    </row>
    <row r="15" spans="1:9" s="540" customFormat="1">
      <c r="A15" s="258" t="s">
        <v>629</v>
      </c>
      <c r="C15" s="258" t="s">
        <v>630</v>
      </c>
      <c r="E15" s="258" t="s">
        <v>631</v>
      </c>
      <c r="G15" s="258" t="s">
        <v>640</v>
      </c>
      <c r="H15" s="258" t="s">
        <v>632</v>
      </c>
    </row>
    <row r="18" spans="1:8" s="528" customFormat="1">
      <c r="A18" s="543">
        <f>'Rate Calculation'!E49</f>
        <v>163660125.31235114</v>
      </c>
      <c r="B18" s="543"/>
      <c r="C18" s="543">
        <f>'Schedule 4'!E27</f>
        <v>25788191.004891332</v>
      </c>
      <c r="D18" s="543"/>
      <c r="E18" s="543">
        <f>A18-C18</f>
        <v>137871934.3074598</v>
      </c>
      <c r="F18" s="368"/>
      <c r="G18" s="527">
        <f>'Rate Calculation'!E55</f>
        <v>4370.3333333333339</v>
      </c>
      <c r="H18" s="528">
        <f>ROUND(E18/G18/1000,2)</f>
        <v>31.55</v>
      </c>
    </row>
    <row r="19" spans="1:8">
      <c r="A19" s="266"/>
      <c r="C19" s="266"/>
      <c r="E19" s="266"/>
      <c r="G19" s="266"/>
      <c r="H19" s="266"/>
    </row>
    <row r="21" spans="1:8" ht="12" customHeight="1"/>
    <row r="24" spans="1:8">
      <c r="C24" s="263" t="s">
        <v>264</v>
      </c>
      <c r="G24" s="185"/>
      <c r="H24" s="517">
        <f>ROUND(H18/12,4)</f>
        <v>2.6292</v>
      </c>
    </row>
    <row r="25" spans="1:8">
      <c r="C25" s="263" t="s">
        <v>265</v>
      </c>
      <c r="G25" s="540"/>
      <c r="H25" s="517">
        <f>ROUND(H18/52,4)</f>
        <v>0.60670000000000002</v>
      </c>
    </row>
    <row r="26" spans="1:8">
      <c r="C26" s="263" t="s">
        <v>266</v>
      </c>
      <c r="G26" s="540"/>
      <c r="H26" s="517">
        <f>ROUND(H25/6,4)</f>
        <v>0.1011</v>
      </c>
    </row>
    <row r="27" spans="1:8">
      <c r="C27" s="263" t="s">
        <v>267</v>
      </c>
      <c r="G27" s="185"/>
      <c r="H27" s="517">
        <f>ROUND(H25/7,4)</f>
        <v>8.6699999999999999E-2</v>
      </c>
    </row>
    <row r="28" spans="1:8">
      <c r="C28" s="263" t="s">
        <v>268</v>
      </c>
      <c r="G28" s="540"/>
      <c r="H28" s="516">
        <f>ROUND(H18*1000/4896,2)</f>
        <v>6.44</v>
      </c>
    </row>
    <row r="29" spans="1:8">
      <c r="C29" s="263" t="s">
        <v>269</v>
      </c>
      <c r="G29" s="540"/>
      <c r="H29" s="516">
        <f>ROUND(H18*1000/8760,2)</f>
        <v>3.6</v>
      </c>
    </row>
    <row r="32" spans="1:8">
      <c r="E32" s="543"/>
    </row>
  </sheetData>
  <mergeCells count="7">
    <mergeCell ref="A5:H5"/>
    <mergeCell ref="A7:H7"/>
    <mergeCell ref="A8:H8"/>
    <mergeCell ref="A1:I1"/>
    <mergeCell ref="A2:I2"/>
    <mergeCell ref="A3:I3"/>
    <mergeCell ref="A6:I6"/>
  </mergeCells>
  <phoneticPr fontId="18" type="noConversion"/>
  <printOptions horizontalCentered="1"/>
  <pageMargins left="0.75" right="0.75" top="1" bottom="1" header="0.5" footer="0.5"/>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47"/>
  <sheetViews>
    <sheetView topLeftCell="A19" zoomScale="120" zoomScaleNormal="120" zoomScaleSheetLayoutView="100" workbookViewId="0">
      <selection sqref="A1:XFD1048576"/>
    </sheetView>
  </sheetViews>
  <sheetFormatPr defaultColWidth="9.140625" defaultRowHeight="12.75"/>
  <cols>
    <col min="1" max="1" width="6.7109375" style="193" customWidth="1"/>
    <col min="2" max="2" width="2.140625" style="193" customWidth="1"/>
    <col min="3" max="3" width="10.42578125" style="193" bestFit="1" customWidth="1"/>
    <col min="4" max="4" width="11.28515625" style="193" customWidth="1"/>
    <col min="5" max="5" width="10.7109375" style="193" bestFit="1" customWidth="1"/>
    <col min="6" max="6" width="3.85546875" style="193" customWidth="1"/>
    <col min="7" max="7" width="13.28515625" style="193" bestFit="1" customWidth="1"/>
    <col min="8" max="8" width="2.140625" style="193" customWidth="1"/>
    <col min="9" max="9" width="26.85546875" style="540" bestFit="1" customWidth="1"/>
    <col min="10" max="10" width="2.140625" style="193" customWidth="1"/>
    <col min="11" max="11" width="22.7109375" style="540" customWidth="1"/>
    <col min="12" max="16384" width="9.140625" style="193"/>
  </cols>
  <sheetData>
    <row r="1" spans="1:11">
      <c r="A1" s="563" t="s">
        <v>459</v>
      </c>
      <c r="B1" s="563"/>
      <c r="C1" s="563"/>
      <c r="D1" s="563"/>
      <c r="E1" s="563"/>
      <c r="F1" s="563"/>
      <c r="G1" s="563"/>
      <c r="H1" s="563"/>
      <c r="I1" s="563"/>
      <c r="J1" s="563"/>
      <c r="K1" s="563"/>
    </row>
    <row r="2" spans="1:11">
      <c r="A2" s="563" t="s">
        <v>1038</v>
      </c>
      <c r="B2" s="563"/>
      <c r="C2" s="563"/>
      <c r="D2" s="563"/>
      <c r="E2" s="563"/>
      <c r="F2" s="563"/>
      <c r="G2" s="563"/>
      <c r="H2" s="563"/>
      <c r="I2" s="563"/>
      <c r="J2" s="563"/>
      <c r="K2" s="563"/>
    </row>
    <row r="3" spans="1:11">
      <c r="A3" s="563" t="str">
        <f>'Title Page'!A10</f>
        <v>FOR THE TWELVE MONTHS ENDED DECEMBER 31, 2023</v>
      </c>
      <c r="B3" s="563"/>
      <c r="C3" s="563"/>
      <c r="D3" s="563"/>
      <c r="E3" s="563"/>
      <c r="F3" s="563"/>
      <c r="G3" s="563"/>
      <c r="H3" s="563"/>
      <c r="I3" s="563"/>
      <c r="J3" s="563"/>
      <c r="K3" s="563"/>
    </row>
    <row r="5" spans="1:11">
      <c r="A5" s="564"/>
      <c r="B5" s="564"/>
      <c r="C5" s="564"/>
      <c r="D5" s="564"/>
      <c r="E5" s="564"/>
      <c r="F5" s="564"/>
      <c r="G5" s="564"/>
      <c r="H5" s="564"/>
      <c r="I5" s="564"/>
      <c r="J5" s="564"/>
      <c r="K5" s="564"/>
    </row>
    <row r="6" spans="1:11">
      <c r="A6" s="564" t="s">
        <v>633</v>
      </c>
      <c r="B6" s="564"/>
      <c r="C6" s="564"/>
      <c r="D6" s="564"/>
      <c r="E6" s="564"/>
      <c r="F6" s="564"/>
      <c r="G6" s="564"/>
      <c r="H6" s="564"/>
      <c r="I6" s="564"/>
      <c r="J6" s="564"/>
      <c r="K6" s="564"/>
    </row>
    <row r="7" spans="1:11">
      <c r="A7" s="564"/>
      <c r="B7" s="564"/>
      <c r="C7" s="564"/>
      <c r="D7" s="564"/>
      <c r="E7" s="564"/>
      <c r="F7" s="564"/>
      <c r="G7" s="564"/>
      <c r="H7" s="564"/>
      <c r="I7" s="564"/>
      <c r="J7" s="564"/>
      <c r="K7" s="564"/>
    </row>
    <row r="8" spans="1:11">
      <c r="A8" s="540"/>
      <c r="B8" s="540"/>
      <c r="C8" s="540"/>
      <c r="D8" s="540"/>
      <c r="E8" s="540"/>
      <c r="F8" s="540"/>
      <c r="G8" s="540"/>
      <c r="H8" s="540"/>
      <c r="J8" s="540"/>
    </row>
    <row r="9" spans="1:11">
      <c r="I9" s="563"/>
      <c r="J9" s="563"/>
      <c r="K9" s="563"/>
    </row>
    <row r="13" spans="1:11">
      <c r="F13" s="518"/>
      <c r="G13" s="518" t="s">
        <v>116</v>
      </c>
      <c r="I13" s="543">
        <f>'Rate Calculation'!E49</f>
        <v>163660125.31235114</v>
      </c>
      <c r="J13" s="266"/>
      <c r="K13" s="266"/>
    </row>
    <row r="14" spans="1:11">
      <c r="E14" s="266"/>
      <c r="F14" s="266"/>
      <c r="G14" s="266"/>
    </row>
    <row r="15" spans="1:11">
      <c r="G15" s="518" t="s">
        <v>117</v>
      </c>
      <c r="I15" s="542">
        <f>ABS('Rate Calculation'!E51)</f>
        <v>25788191.004891332</v>
      </c>
    </row>
    <row r="16" spans="1:11">
      <c r="G16" s="543"/>
    </row>
    <row r="17" spans="2:9">
      <c r="G17" s="250" t="s">
        <v>118</v>
      </c>
      <c r="I17" s="543">
        <f>'Rate Calculation'!E53</f>
        <v>137871934.3074598</v>
      </c>
    </row>
    <row r="18" spans="2:9">
      <c r="G18" s="543"/>
    </row>
    <row r="19" spans="2:9">
      <c r="G19" s="518" t="s">
        <v>290</v>
      </c>
      <c r="H19" s="518"/>
      <c r="I19" s="542">
        <f>C47</f>
        <v>4285052.8815927384</v>
      </c>
    </row>
    <row r="20" spans="2:9">
      <c r="I20" s="543"/>
    </row>
    <row r="21" spans="2:9">
      <c r="B21" s="266"/>
      <c r="C21" s="266"/>
      <c r="D21" s="266"/>
      <c r="E21" s="266"/>
      <c r="F21" s="266"/>
      <c r="G21" s="518" t="s">
        <v>119</v>
      </c>
      <c r="H21" s="266"/>
      <c r="I21" s="543">
        <f>I17 + I19</f>
        <v>142156987.18905255</v>
      </c>
    </row>
    <row r="31" spans="2:9">
      <c r="I31" s="258" t="s">
        <v>291</v>
      </c>
    </row>
    <row r="33" spans="1:11">
      <c r="A33" s="250" t="s">
        <v>500</v>
      </c>
      <c r="B33" s="199" t="s">
        <v>106</v>
      </c>
      <c r="C33" s="566" t="s">
        <v>115</v>
      </c>
      <c r="D33" s="566"/>
      <c r="E33" s="566"/>
      <c r="F33" s="566"/>
      <c r="G33" s="566"/>
      <c r="H33" s="199"/>
      <c r="I33" s="266" t="s">
        <v>292</v>
      </c>
      <c r="J33" s="270"/>
    </row>
    <row r="34" spans="1:11">
      <c r="C34" s="266" t="s">
        <v>293</v>
      </c>
      <c r="I34" s="266"/>
      <c r="J34" s="266"/>
    </row>
    <row r="37" spans="1:11">
      <c r="C37" s="565" t="s">
        <v>294</v>
      </c>
      <c r="D37" s="565"/>
    </row>
    <row r="38" spans="1:11">
      <c r="C38" s="568" t="s">
        <v>295</v>
      </c>
      <c r="D38" s="568"/>
      <c r="E38" s="254">
        <f>'Schedule 5'!Q70</f>
        <v>1177</v>
      </c>
      <c r="I38" s="540" t="s">
        <v>296</v>
      </c>
    </row>
    <row r="39" spans="1:11">
      <c r="C39" s="568" t="s">
        <v>297</v>
      </c>
      <c r="D39" s="568"/>
      <c r="E39" s="254">
        <f>ROUND('Schedule 5'!E28,0)</f>
        <v>4040</v>
      </c>
      <c r="I39" s="540" t="s">
        <v>296</v>
      </c>
    </row>
    <row r="40" spans="1:11">
      <c r="C40" s="569" t="s">
        <v>298</v>
      </c>
      <c r="D40" s="569"/>
      <c r="E40" s="519">
        <f>ROUND('Rate Calculation'!E53/E39/1000, 2)</f>
        <v>34.130000000000003</v>
      </c>
      <c r="I40" s="520" t="s">
        <v>419</v>
      </c>
      <c r="J40" s="374"/>
    </row>
    <row r="41" spans="1:11">
      <c r="C41" s="568" t="s">
        <v>299</v>
      </c>
      <c r="D41" s="568"/>
      <c r="E41" s="521">
        <f>'Rate Calculation'!E57</f>
        <v>31.55</v>
      </c>
      <c r="I41" s="540" t="s">
        <v>797</v>
      </c>
    </row>
    <row r="44" spans="1:11">
      <c r="B44" s="418" t="s">
        <v>106</v>
      </c>
      <c r="C44" s="542" t="str">
        <f>E38&amp; " MW * "</f>
        <v xml:space="preserve">1177 MW * </v>
      </c>
      <c r="D44" s="522" t="str">
        <f>E39&amp;" MW * ( "</f>
        <v xml:space="preserve">4040 MW * ( </v>
      </c>
      <c r="E44" s="523">
        <f>E40</f>
        <v>34.130000000000003</v>
      </c>
      <c r="F44" s="524" t="str">
        <f>" -  $ "</f>
        <v xml:space="preserve"> -  $ </v>
      </c>
      <c r="G44" s="525" t="str">
        <f>E41&amp; " ) * 1000 "</f>
        <v xml:space="preserve">31.55 ) * 1000 </v>
      </c>
      <c r="H44" s="418"/>
      <c r="I44" s="539"/>
      <c r="J44" s="202"/>
      <c r="K44" s="539"/>
    </row>
    <row r="45" spans="1:11">
      <c r="D45" s="526" t="str">
        <f>E39&amp; " MW - "</f>
        <v xml:space="preserve">4040 MW - </v>
      </c>
      <c r="E45" s="263" t="str">
        <f>E38&amp; " MW "</f>
        <v xml:space="preserve">1177 MW </v>
      </c>
      <c r="I45" s="567"/>
      <c r="J45" s="567"/>
    </row>
    <row r="47" spans="1:11">
      <c r="B47" s="418" t="s">
        <v>106</v>
      </c>
      <c r="C47" s="543">
        <f>(E38*E39*((E40)-ROUND(E41,2))*1000)/(E39-E38)</f>
        <v>4285052.8815927384</v>
      </c>
      <c r="D47" s="418"/>
      <c r="E47" s="418"/>
      <c r="F47" s="418"/>
      <c r="G47" s="418"/>
      <c r="H47" s="418"/>
    </row>
  </sheetData>
  <mergeCells count="14">
    <mergeCell ref="A7:K7"/>
    <mergeCell ref="C37:D37"/>
    <mergeCell ref="C33:G33"/>
    <mergeCell ref="I45:J45"/>
    <mergeCell ref="I9:K9"/>
    <mergeCell ref="C41:D41"/>
    <mergeCell ref="C38:D38"/>
    <mergeCell ref="C39:D39"/>
    <mergeCell ref="C40:D40"/>
    <mergeCell ref="A1:K1"/>
    <mergeCell ref="A2:K2"/>
    <mergeCell ref="A3:K3"/>
    <mergeCell ref="A5:K5"/>
    <mergeCell ref="A6:K6"/>
  </mergeCells>
  <phoneticPr fontId="18" type="noConversion"/>
  <printOptions horizontalCentered="1"/>
  <pageMargins left="0.75" right="0.75" top="1" bottom="1" header="0.5" footer="0.5"/>
  <pageSetup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19"/>
  <sheetViews>
    <sheetView zoomScaleNormal="100" zoomScaleSheetLayoutView="100" workbookViewId="0">
      <selection sqref="A1:XFD1048576"/>
    </sheetView>
  </sheetViews>
  <sheetFormatPr defaultColWidth="9.140625" defaultRowHeight="12.75"/>
  <cols>
    <col min="1" max="1" width="1.28515625" style="193" customWidth="1"/>
    <col min="2" max="2" width="24.5703125" style="543" bestFit="1" customWidth="1"/>
    <col min="3" max="3" width="1" style="193" customWidth="1"/>
    <col min="4" max="4" width="44.42578125" style="540" bestFit="1" customWidth="1"/>
    <col min="5" max="5" width="1" style="193" customWidth="1"/>
    <col min="6" max="6" width="20.28515625" style="540" bestFit="1" customWidth="1"/>
    <col min="7" max="16384" width="9.140625" style="193"/>
  </cols>
  <sheetData>
    <row r="1" spans="1:6">
      <c r="A1" s="563" t="s">
        <v>459</v>
      </c>
      <c r="B1" s="563"/>
      <c r="C1" s="563"/>
      <c r="D1" s="563"/>
      <c r="E1" s="563"/>
      <c r="F1" s="563"/>
    </row>
    <row r="2" spans="1:6">
      <c r="A2" s="563" t="s">
        <v>1038</v>
      </c>
      <c r="B2" s="563"/>
      <c r="C2" s="563"/>
      <c r="D2" s="563"/>
      <c r="E2" s="563"/>
      <c r="F2" s="563"/>
    </row>
    <row r="3" spans="1:6">
      <c r="A3" s="563" t="str">
        <f>'Title Page'!A10</f>
        <v>FOR THE TWELVE MONTHS ENDED DECEMBER 31, 2023</v>
      </c>
      <c r="B3" s="563"/>
      <c r="C3" s="563"/>
      <c r="D3" s="563"/>
      <c r="E3" s="563"/>
      <c r="F3" s="563"/>
    </row>
    <row r="7" spans="1:6">
      <c r="B7" s="264"/>
      <c r="C7" s="264"/>
      <c r="D7" s="264"/>
      <c r="E7" s="264"/>
      <c r="F7" s="264"/>
    </row>
    <row r="8" spans="1:6">
      <c r="A8" s="564" t="s">
        <v>646</v>
      </c>
      <c r="B8" s="564"/>
      <c r="C8" s="564"/>
      <c r="D8" s="564"/>
      <c r="E8" s="564"/>
      <c r="F8" s="564"/>
    </row>
    <row r="9" spans="1:6">
      <c r="B9" s="264"/>
      <c r="C9" s="264"/>
      <c r="D9" s="264"/>
      <c r="E9" s="264"/>
      <c r="F9" s="264"/>
    </row>
    <row r="10" spans="1:6">
      <c r="B10" s="540"/>
      <c r="C10" s="540"/>
      <c r="E10" s="540"/>
    </row>
    <row r="11" spans="1:6">
      <c r="B11" s="193"/>
      <c r="D11" s="193"/>
      <c r="F11" s="193"/>
    </row>
    <row r="14" spans="1:6">
      <c r="D14" s="540" t="s">
        <v>635</v>
      </c>
    </row>
    <row r="15" spans="1:6">
      <c r="B15" s="543" t="s">
        <v>636</v>
      </c>
      <c r="D15" s="540" t="s">
        <v>637</v>
      </c>
      <c r="F15" s="540" t="s">
        <v>638</v>
      </c>
    </row>
    <row r="16" spans="1:6">
      <c r="B16" s="542" t="s">
        <v>639</v>
      </c>
      <c r="D16" s="258" t="s">
        <v>641</v>
      </c>
      <c r="F16" s="258" t="s">
        <v>634</v>
      </c>
    </row>
    <row r="19" spans="2:6">
      <c r="B19" s="543">
        <f>'Schedule 4'!E17</f>
        <v>4392404.3918892583</v>
      </c>
      <c r="D19" s="543">
        <f>'Schedule 4'!E24</f>
        <v>21395786.613002073</v>
      </c>
      <c r="F19" s="543">
        <f>'Schedule 4'!E27</f>
        <v>25788191.004891332</v>
      </c>
    </row>
  </sheetData>
  <mergeCells count="4">
    <mergeCell ref="A1:F1"/>
    <mergeCell ref="A2:F2"/>
    <mergeCell ref="A3:F3"/>
    <mergeCell ref="A8:F8"/>
  </mergeCells>
  <phoneticPr fontId="18" type="noConversion"/>
  <printOptions horizontalCentered="1"/>
  <pageMargins left="0.75" right="0.75" top="1" bottom="1"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68"/>
  <sheetViews>
    <sheetView zoomScale="140" zoomScaleNormal="140" zoomScaleSheetLayoutView="80" zoomScalePageLayoutView="90" workbookViewId="0">
      <selection sqref="A1:XFD1048576"/>
    </sheetView>
  </sheetViews>
  <sheetFormatPr defaultColWidth="9.140625" defaultRowHeight="12.75"/>
  <cols>
    <col min="1" max="1" width="5.140625" style="193" customWidth="1"/>
    <col min="2" max="2" width="2.7109375" style="193" customWidth="1"/>
    <col min="3" max="3" width="73.7109375" style="193" customWidth="1"/>
    <col min="4" max="4" width="46.7109375" style="250" bestFit="1" customWidth="1"/>
    <col min="5" max="5" width="17.7109375" style="421" customWidth="1"/>
    <col min="6" max="16384" width="9.140625" style="193"/>
  </cols>
  <sheetData>
    <row r="1" spans="1:6">
      <c r="A1" s="563" t="s">
        <v>459</v>
      </c>
      <c r="B1" s="563"/>
      <c r="C1" s="563"/>
      <c r="D1" s="563"/>
      <c r="E1" s="563"/>
      <c r="F1" s="563"/>
    </row>
    <row r="2" spans="1:6">
      <c r="A2" s="563" t="s">
        <v>1038</v>
      </c>
      <c r="B2" s="563"/>
      <c r="C2" s="563"/>
      <c r="D2" s="563"/>
      <c r="E2" s="563"/>
      <c r="F2" s="563"/>
    </row>
    <row r="3" spans="1:6">
      <c r="A3" s="563" t="str">
        <f>'Title Page'!A10</f>
        <v>FOR THE TWELVE MONTHS ENDED DECEMBER 31, 2023</v>
      </c>
      <c r="B3" s="563"/>
      <c r="C3" s="563"/>
      <c r="D3" s="563"/>
      <c r="E3" s="563"/>
      <c r="F3" s="563"/>
    </row>
    <row r="4" spans="1:6" ht="18">
      <c r="C4" s="571"/>
      <c r="D4" s="571"/>
      <c r="E4" s="571"/>
    </row>
    <row r="5" spans="1:6">
      <c r="A5" s="564" t="s">
        <v>107</v>
      </c>
      <c r="B5" s="564"/>
      <c r="C5" s="564"/>
      <c r="D5" s="564"/>
      <c r="E5" s="564"/>
      <c r="F5" s="564"/>
    </row>
    <row r="6" spans="1:6">
      <c r="A6" s="540"/>
      <c r="B6" s="540"/>
      <c r="C6" s="540"/>
      <c r="D6" s="540"/>
      <c r="E6" s="540"/>
    </row>
    <row r="7" spans="1:6">
      <c r="C7" s="264"/>
      <c r="D7" s="541" t="s">
        <v>192</v>
      </c>
      <c r="E7" s="513" t="s">
        <v>193</v>
      </c>
    </row>
    <row r="8" spans="1:6">
      <c r="C8" s="264" t="s">
        <v>194</v>
      </c>
    </row>
    <row r="9" spans="1:6">
      <c r="A9" s="193">
        <v>1</v>
      </c>
      <c r="C9" s="193" t="s">
        <v>281</v>
      </c>
      <c r="D9" s="250" t="s">
        <v>1335</v>
      </c>
      <c r="E9" s="472">
        <f>1392337764-0-'Schedule 10'!E19</f>
        <v>1390965512.55</v>
      </c>
      <c r="F9" s="274">
        <v>-1</v>
      </c>
    </row>
    <row r="10" spans="1:6">
      <c r="A10" s="193">
        <f>A9+1</f>
        <v>2</v>
      </c>
      <c r="C10" s="193" t="s">
        <v>455</v>
      </c>
      <c r="D10" s="250" t="s">
        <v>146</v>
      </c>
      <c r="E10" s="421">
        <f>-'Schedule 7'!E89</f>
        <v>-40995725.88499999</v>
      </c>
    </row>
    <row r="11" spans="1:6">
      <c r="A11" s="193">
        <f t="shared" ref="A11:A63" si="0">A10+1</f>
        <v>3</v>
      </c>
      <c r="C11" s="193" t="s">
        <v>178</v>
      </c>
      <c r="D11" s="250" t="s">
        <v>501</v>
      </c>
      <c r="E11" s="421">
        <f>-'Schedule 8'!E23</f>
        <v>-3811357.12</v>
      </c>
    </row>
    <row r="12" spans="1:6">
      <c r="A12" s="193">
        <f t="shared" si="0"/>
        <v>4</v>
      </c>
      <c r="C12" s="193" t="s">
        <v>163</v>
      </c>
      <c r="D12" s="250" t="s">
        <v>37</v>
      </c>
      <c r="E12" s="421">
        <f>-'Schedule 9'!E46</f>
        <v>0</v>
      </c>
    </row>
    <row r="13" spans="1:6">
      <c r="A13" s="193">
        <f t="shared" si="0"/>
        <v>5</v>
      </c>
      <c r="C13" s="193" t="s">
        <v>326</v>
      </c>
      <c r="D13" s="250" t="s">
        <v>196</v>
      </c>
      <c r="E13" s="421">
        <f>'Schedule 1'!F23</f>
        <v>70189597.783073977</v>
      </c>
    </row>
    <row r="14" spans="1:6">
      <c r="A14" s="193">
        <f t="shared" si="0"/>
        <v>6</v>
      </c>
      <c r="C14" s="193" t="s">
        <v>197</v>
      </c>
      <c r="D14" s="250" t="s">
        <v>196</v>
      </c>
      <c r="E14" s="514">
        <f>'Schedule 1'!F35</f>
        <v>15119453.699965261</v>
      </c>
    </row>
    <row r="15" spans="1:6">
      <c r="A15" s="193">
        <f t="shared" si="0"/>
        <v>7</v>
      </c>
      <c r="C15" s="193" t="s">
        <v>431</v>
      </c>
      <c r="D15" s="250" t="s">
        <v>1336</v>
      </c>
      <c r="E15" s="421">
        <f>68592+199069+308066+575774+870843+778595+424115</f>
        <v>3225054</v>
      </c>
    </row>
    <row r="16" spans="1:6">
      <c r="A16" s="193">
        <f t="shared" si="0"/>
        <v>8</v>
      </c>
      <c r="C16" s="193" t="s">
        <v>432</v>
      </c>
      <c r="D16" s="250" t="s">
        <v>196</v>
      </c>
      <c r="E16" s="421">
        <f>'Schedule 1'!F71</f>
        <v>0</v>
      </c>
    </row>
    <row r="17" spans="1:5">
      <c r="A17" s="193">
        <f t="shared" si="0"/>
        <v>9</v>
      </c>
      <c r="C17" s="193" t="s">
        <v>302</v>
      </c>
      <c r="D17" s="250" t="s">
        <v>1054</v>
      </c>
      <c r="E17" s="421">
        <f>-431545321-0</f>
        <v>-431545321</v>
      </c>
    </row>
    <row r="18" spans="1:5">
      <c r="A18" s="193">
        <f t="shared" si="0"/>
        <v>10</v>
      </c>
      <c r="C18" s="193" t="s">
        <v>162</v>
      </c>
      <c r="D18" s="250" t="s">
        <v>146</v>
      </c>
      <c r="E18" s="421">
        <f>'Schedule 7'!F89</f>
        <v>16304105.950000007</v>
      </c>
    </row>
    <row r="19" spans="1:5">
      <c r="A19" s="193">
        <f t="shared" si="0"/>
        <v>11</v>
      </c>
      <c r="C19" s="193" t="s">
        <v>179</v>
      </c>
      <c r="D19" s="250" t="s">
        <v>501</v>
      </c>
      <c r="E19" s="421">
        <f>'Schedule 8'!F23</f>
        <v>400759.86999999988</v>
      </c>
    </row>
    <row r="20" spans="1:5">
      <c r="A20" s="193">
        <f t="shared" si="0"/>
        <v>12</v>
      </c>
      <c r="C20" s="193" t="s">
        <v>288</v>
      </c>
      <c r="D20" s="250" t="s">
        <v>196</v>
      </c>
      <c r="E20" s="421">
        <f>-'Schedule 1'!F29</f>
        <v>-19028353.223442063</v>
      </c>
    </row>
    <row r="21" spans="1:5">
      <c r="A21" s="193">
        <f t="shared" si="0"/>
        <v>13</v>
      </c>
      <c r="C21" s="193" t="s">
        <v>410</v>
      </c>
      <c r="D21" s="250" t="s">
        <v>196</v>
      </c>
      <c r="E21" s="421">
        <f>-'Schedule 1'!F41</f>
        <v>-5819829.2595134107</v>
      </c>
    </row>
    <row r="22" spans="1:5">
      <c r="A22" s="193">
        <f t="shared" si="0"/>
        <v>14</v>
      </c>
      <c r="C22" s="193" t="s">
        <v>195</v>
      </c>
      <c r="D22" s="250" t="s">
        <v>196</v>
      </c>
      <c r="E22" s="421">
        <f xml:space="preserve"> - 'Schedule 1'!F17</f>
        <v>-78105795.881400973</v>
      </c>
    </row>
    <row r="23" spans="1:5">
      <c r="A23" s="193">
        <f t="shared" si="0"/>
        <v>15</v>
      </c>
      <c r="C23" s="193" t="s">
        <v>407</v>
      </c>
      <c r="D23" s="250" t="s">
        <v>196</v>
      </c>
      <c r="E23" s="421">
        <f xml:space="preserve"> - 'Schedule 1'!F51</f>
        <v>-4949738.1907344004</v>
      </c>
    </row>
    <row r="24" spans="1:5">
      <c r="A24" s="193">
        <f t="shared" si="0"/>
        <v>16</v>
      </c>
      <c r="C24" s="193" t="s">
        <v>355</v>
      </c>
      <c r="D24" s="250" t="s">
        <v>196</v>
      </c>
      <c r="E24" s="421">
        <f>'Schedule 1'!F65</f>
        <v>2970943.6974305403</v>
      </c>
    </row>
    <row r="25" spans="1:5">
      <c r="A25" s="193">
        <f t="shared" si="0"/>
        <v>17</v>
      </c>
      <c r="C25" s="193" t="s">
        <v>435</v>
      </c>
      <c r="D25" s="250" t="s">
        <v>439</v>
      </c>
      <c r="E25" s="421">
        <f>'Schedule 1'!F82</f>
        <v>49464906.057445318</v>
      </c>
    </row>
    <row r="26" spans="1:5">
      <c r="A26" s="193">
        <f t="shared" si="0"/>
        <v>18</v>
      </c>
      <c r="C26" s="193" t="s">
        <v>456</v>
      </c>
      <c r="D26" s="250" t="s">
        <v>196</v>
      </c>
      <c r="E26" s="421">
        <f>'Schedule 1'!F57</f>
        <v>5217148.0433829371</v>
      </c>
    </row>
    <row r="27" spans="1:5">
      <c r="A27" s="193">
        <f t="shared" si="0"/>
        <v>19</v>
      </c>
      <c r="C27" s="193" t="s">
        <v>30</v>
      </c>
      <c r="D27" s="250" t="s">
        <v>825</v>
      </c>
      <c r="E27" s="421">
        <v>0</v>
      </c>
    </row>
    <row r="28" spans="1:5">
      <c r="A28" s="193">
        <f t="shared" si="0"/>
        <v>20</v>
      </c>
      <c r="C28" s="193" t="s">
        <v>198</v>
      </c>
      <c r="D28" s="417" t="s">
        <v>378</v>
      </c>
      <c r="E28" s="421">
        <f>SUM(E9:E27)</f>
        <v>969601361.09120715</v>
      </c>
    </row>
    <row r="29" spans="1:5">
      <c r="A29" s="193">
        <f t="shared" si="0"/>
        <v>21</v>
      </c>
    </row>
    <row r="30" spans="1:5">
      <c r="A30" s="193">
        <f t="shared" si="0"/>
        <v>22</v>
      </c>
      <c r="C30" s="264" t="s">
        <v>368</v>
      </c>
    </row>
    <row r="31" spans="1:5">
      <c r="A31" s="193">
        <f t="shared" si="0"/>
        <v>23</v>
      </c>
      <c r="C31" s="193" t="s">
        <v>199</v>
      </c>
      <c r="D31" s="250" t="s">
        <v>202</v>
      </c>
      <c r="E31" s="101">
        <f>ROUND('Schedule 6'!I24,5)</f>
        <v>7.7679999999999999E-2</v>
      </c>
    </row>
    <row r="32" spans="1:5">
      <c r="A32" s="193">
        <f t="shared" si="0"/>
        <v>24</v>
      </c>
      <c r="C32" s="193" t="s">
        <v>409</v>
      </c>
      <c r="D32" s="250" t="s">
        <v>202</v>
      </c>
      <c r="E32" s="101">
        <f xml:space="preserve"> 'Schedule 6'!I38</f>
        <v>1.737E-2</v>
      </c>
    </row>
    <row r="33" spans="1:5">
      <c r="A33" s="193">
        <f t="shared" si="0"/>
        <v>25</v>
      </c>
      <c r="C33" s="193" t="s">
        <v>405</v>
      </c>
      <c r="D33" s="417" t="s">
        <v>11</v>
      </c>
      <c r="E33" s="421">
        <f>E28*(E31+E32)</f>
        <v>92160609.371719241</v>
      </c>
    </row>
    <row r="34" spans="1:5">
      <c r="A34" s="193">
        <f t="shared" si="0"/>
        <v>26</v>
      </c>
    </row>
    <row r="35" spans="1:5">
      <c r="A35" s="193">
        <f t="shared" si="0"/>
        <v>27</v>
      </c>
    </row>
    <row r="36" spans="1:5">
      <c r="A36" s="193">
        <f t="shared" si="0"/>
        <v>28</v>
      </c>
      <c r="C36" s="264" t="s">
        <v>203</v>
      </c>
    </row>
    <row r="37" spans="1:5">
      <c r="A37" s="193">
        <f t="shared" si="0"/>
        <v>29</v>
      </c>
      <c r="C37" s="193" t="s">
        <v>256</v>
      </c>
      <c r="D37" s="250" t="s">
        <v>206</v>
      </c>
      <c r="E37" s="421">
        <f>'Schedule 2'!F72</f>
        <v>24711556.600000001</v>
      </c>
    </row>
    <row r="38" spans="1:5">
      <c r="A38" s="193">
        <f t="shared" si="0"/>
        <v>30</v>
      </c>
      <c r="C38" s="193" t="s">
        <v>257</v>
      </c>
      <c r="D38" s="250" t="s">
        <v>206</v>
      </c>
      <c r="E38" s="421">
        <f>'Schedule 2'!F35</f>
        <v>2354232.9361607102</v>
      </c>
    </row>
    <row r="39" spans="1:5">
      <c r="A39" s="193">
        <f t="shared" si="0"/>
        <v>31</v>
      </c>
      <c r="C39" s="193" t="s">
        <v>817</v>
      </c>
      <c r="D39" s="250" t="s">
        <v>206</v>
      </c>
      <c r="E39" s="421">
        <f>'Schedule 2'!F65</f>
        <v>810288.42375465005</v>
      </c>
    </row>
    <row r="40" spans="1:5">
      <c r="A40" s="193">
        <f t="shared" si="0"/>
        <v>32</v>
      </c>
      <c r="C40" s="193" t="s">
        <v>960</v>
      </c>
      <c r="D40" s="250" t="s">
        <v>206</v>
      </c>
      <c r="E40" s="421">
        <f xml:space="preserve"> 'Schedule 2'!F43</f>
        <v>-3184217.9471913702</v>
      </c>
    </row>
    <row r="41" spans="1:5">
      <c r="A41" s="193">
        <f t="shared" si="0"/>
        <v>33</v>
      </c>
      <c r="C41" s="193" t="s">
        <v>204</v>
      </c>
      <c r="D41" s="250" t="s">
        <v>206</v>
      </c>
      <c r="E41" s="421">
        <f>'Schedule 2'!F79</f>
        <v>34852596.446666665</v>
      </c>
    </row>
    <row r="42" spans="1:5">
      <c r="A42" s="193">
        <f t="shared" si="0"/>
        <v>34</v>
      </c>
      <c r="C42" s="193" t="s">
        <v>363</v>
      </c>
      <c r="D42" s="250" t="s">
        <v>1337</v>
      </c>
      <c r="E42" s="421">
        <f>-(57744+3125411+619816+13722+0+18816+263743+1315392)</f>
        <v>-5414644</v>
      </c>
    </row>
    <row r="43" spans="1:5">
      <c r="A43" s="193">
        <f t="shared" si="0"/>
        <v>35</v>
      </c>
      <c r="C43" s="193" t="s">
        <v>364</v>
      </c>
      <c r="D43" s="250" t="s">
        <v>1338</v>
      </c>
      <c r="E43" s="421">
        <v>-11050622</v>
      </c>
    </row>
    <row r="44" spans="1:5">
      <c r="A44" s="193">
        <f t="shared" si="0"/>
        <v>36</v>
      </c>
      <c r="C44" s="193" t="s">
        <v>205</v>
      </c>
      <c r="D44" s="250" t="s">
        <v>206</v>
      </c>
      <c r="E44" s="421">
        <f>'Schedule 2'!F30</f>
        <v>23349853.900396828</v>
      </c>
    </row>
    <row r="45" spans="1:5">
      <c r="A45" s="193">
        <f t="shared" si="0"/>
        <v>37</v>
      </c>
      <c r="C45" s="193" t="s">
        <v>447</v>
      </c>
      <c r="D45" s="250" t="s">
        <v>206</v>
      </c>
      <c r="E45" s="421">
        <f>'Schedule 2'!F59</f>
        <v>5070471.5808444228</v>
      </c>
    </row>
    <row r="46" spans="1:5">
      <c r="A46" s="193">
        <f t="shared" si="0"/>
        <v>38</v>
      </c>
      <c r="C46" s="193" t="s">
        <v>31</v>
      </c>
      <c r="D46" s="250" t="s">
        <v>112</v>
      </c>
      <c r="E46" s="421">
        <v>0</v>
      </c>
    </row>
    <row r="47" spans="1:5">
      <c r="A47" s="193">
        <f t="shared" si="0"/>
        <v>39</v>
      </c>
      <c r="C47" s="193" t="s">
        <v>27</v>
      </c>
      <c r="D47" s="250" t="s">
        <v>37</v>
      </c>
      <c r="E47" s="515">
        <f>'Schedule 9'!E57</f>
        <v>0</v>
      </c>
    </row>
    <row r="48" spans="1:5">
      <c r="A48" s="193">
        <f t="shared" si="0"/>
        <v>40</v>
      </c>
      <c r="C48" s="193" t="s">
        <v>258</v>
      </c>
      <c r="D48" s="417" t="s">
        <v>12</v>
      </c>
      <c r="E48" s="421">
        <f>SUM(E37:E47)</f>
        <v>71499515.940631896</v>
      </c>
    </row>
    <row r="49" spans="1:5">
      <c r="A49" s="193">
        <f t="shared" si="0"/>
        <v>41</v>
      </c>
      <c r="C49" s="193" t="s">
        <v>259</v>
      </c>
      <c r="D49" s="417" t="s">
        <v>20</v>
      </c>
      <c r="E49" s="421">
        <f>E33+E48</f>
        <v>163660125.31235114</v>
      </c>
    </row>
    <row r="50" spans="1:5">
      <c r="A50" s="193">
        <f t="shared" si="0"/>
        <v>42</v>
      </c>
    </row>
    <row r="51" spans="1:5">
      <c r="A51" s="193">
        <f t="shared" si="0"/>
        <v>43</v>
      </c>
      <c r="C51" s="193" t="s">
        <v>260</v>
      </c>
      <c r="D51" s="250" t="s">
        <v>261</v>
      </c>
      <c r="E51" s="421">
        <f>-'Schedule 4'!E27</f>
        <v>-25788191.004891332</v>
      </c>
    </row>
    <row r="52" spans="1:5">
      <c r="A52" s="193">
        <f t="shared" si="0"/>
        <v>44</v>
      </c>
    </row>
    <row r="53" spans="1:5">
      <c r="A53" s="193">
        <f t="shared" si="0"/>
        <v>45</v>
      </c>
      <c r="C53" s="264" t="s">
        <v>234</v>
      </c>
      <c r="D53" s="417"/>
      <c r="E53" s="472">
        <f>SUM(E49:E51)</f>
        <v>137871934.3074598</v>
      </c>
    </row>
    <row r="54" spans="1:5">
      <c r="A54" s="193">
        <f t="shared" si="0"/>
        <v>46</v>
      </c>
    </row>
    <row r="55" spans="1:5">
      <c r="A55" s="193">
        <f t="shared" si="0"/>
        <v>47</v>
      </c>
      <c r="C55" s="264" t="s">
        <v>451</v>
      </c>
      <c r="D55" s="250" t="s">
        <v>262</v>
      </c>
      <c r="E55" s="421">
        <f>'Schedule 5'!G28</f>
        <v>4370.3333333333339</v>
      </c>
    </row>
    <row r="56" spans="1:5">
      <c r="A56" s="193">
        <f t="shared" si="0"/>
        <v>48</v>
      </c>
      <c r="C56" s="264"/>
    </row>
    <row r="57" spans="1:5">
      <c r="A57" s="193">
        <f t="shared" si="0"/>
        <v>49</v>
      </c>
      <c r="C57" s="193" t="s">
        <v>263</v>
      </c>
      <c r="D57" s="417" t="s">
        <v>13</v>
      </c>
      <c r="E57" s="516">
        <f>ROUND(E53/(E55*1000),2)</f>
        <v>31.55</v>
      </c>
    </row>
    <row r="58" spans="1:5">
      <c r="A58" s="193">
        <f t="shared" si="0"/>
        <v>50</v>
      </c>
      <c r="C58" s="193" t="s">
        <v>264</v>
      </c>
      <c r="D58" s="417" t="s">
        <v>14</v>
      </c>
      <c r="E58" s="517">
        <f>ROUND(E57/12,4)</f>
        <v>2.6292</v>
      </c>
    </row>
    <row r="59" spans="1:5">
      <c r="A59" s="193">
        <f t="shared" si="0"/>
        <v>51</v>
      </c>
      <c r="C59" s="193" t="s">
        <v>265</v>
      </c>
      <c r="D59" s="417" t="s">
        <v>15</v>
      </c>
      <c r="E59" s="517">
        <f>ROUND(E57/52,4)</f>
        <v>0.60670000000000002</v>
      </c>
    </row>
    <row r="60" spans="1:5">
      <c r="A60" s="193">
        <f t="shared" si="0"/>
        <v>52</v>
      </c>
      <c r="C60" s="193" t="s">
        <v>266</v>
      </c>
      <c r="D60" s="417" t="s">
        <v>16</v>
      </c>
      <c r="E60" s="517">
        <f>ROUND(E59/6,4)</f>
        <v>0.1011</v>
      </c>
    </row>
    <row r="61" spans="1:5">
      <c r="A61" s="193">
        <f t="shared" si="0"/>
        <v>53</v>
      </c>
      <c r="C61" s="193" t="s">
        <v>267</v>
      </c>
      <c r="D61" s="250" t="s">
        <v>17</v>
      </c>
      <c r="E61" s="517">
        <f>ROUND(E59/7,4)</f>
        <v>8.6699999999999999E-2</v>
      </c>
    </row>
    <row r="62" spans="1:5">
      <c r="A62" s="193">
        <f t="shared" si="0"/>
        <v>54</v>
      </c>
      <c r="C62" s="193" t="s">
        <v>268</v>
      </c>
      <c r="D62" s="417" t="s">
        <v>18</v>
      </c>
      <c r="E62" s="516">
        <f>ROUND(E57*1000/4896,2)</f>
        <v>6.44</v>
      </c>
    </row>
    <row r="63" spans="1:5">
      <c r="A63" s="193">
        <f t="shared" si="0"/>
        <v>55</v>
      </c>
      <c r="C63" s="193" t="s">
        <v>269</v>
      </c>
      <c r="D63" s="417" t="s">
        <v>19</v>
      </c>
      <c r="E63" s="516">
        <f>ROUND(E57*1000/8760,2)</f>
        <v>3.6</v>
      </c>
    </row>
    <row r="67" spans="3:5" ht="27" customHeight="1">
      <c r="C67" s="570" t="s">
        <v>1380</v>
      </c>
      <c r="D67" s="570"/>
      <c r="E67" s="570"/>
    </row>
    <row r="68" spans="3:5">
      <c r="C68" s="421"/>
    </row>
  </sheetData>
  <sheetProtection formatCells="0"/>
  <mergeCells count="6">
    <mergeCell ref="C67:E67"/>
    <mergeCell ref="C4:E4"/>
    <mergeCell ref="A1:F1"/>
    <mergeCell ref="A2:F2"/>
    <mergeCell ref="A3:F3"/>
    <mergeCell ref="A5:F5"/>
  </mergeCells>
  <phoneticPr fontId="0" type="noConversion"/>
  <printOptions horizontalCentered="1"/>
  <pageMargins left="0.75" right="0.75" top="1" bottom="1" header="0.5" footer="0.5"/>
  <pageSetup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82"/>
  <sheetViews>
    <sheetView zoomScale="125" zoomScaleNormal="125" zoomScaleSheetLayoutView="100" workbookViewId="0">
      <selection sqref="A1:XFD1048576"/>
    </sheetView>
  </sheetViews>
  <sheetFormatPr defaultColWidth="9.140625" defaultRowHeight="12.75"/>
  <cols>
    <col min="1" max="1" width="5.140625" style="540" customWidth="1"/>
    <col min="2" max="2" width="4.140625" style="193" customWidth="1"/>
    <col min="3" max="3" width="4" style="193" customWidth="1"/>
    <col min="4" max="4" width="55.85546875" style="193" bestFit="1" customWidth="1"/>
    <col min="5" max="5" width="59.140625" style="250" customWidth="1"/>
    <col min="6" max="6" width="17.85546875" style="30" customWidth="1"/>
    <col min="7" max="16384" width="9.140625" style="193"/>
  </cols>
  <sheetData>
    <row r="1" spans="1:7">
      <c r="A1" s="563" t="s">
        <v>459</v>
      </c>
      <c r="B1" s="563"/>
      <c r="C1" s="563"/>
      <c r="D1" s="563"/>
      <c r="E1" s="563"/>
      <c r="F1" s="563"/>
      <c r="G1" s="563"/>
    </row>
    <row r="2" spans="1:7">
      <c r="A2" s="563" t="s">
        <v>1038</v>
      </c>
      <c r="B2" s="563"/>
      <c r="C2" s="563"/>
      <c r="D2" s="563"/>
      <c r="E2" s="563"/>
      <c r="F2" s="563"/>
      <c r="G2" s="563"/>
    </row>
    <row r="3" spans="1:7">
      <c r="A3" s="563" t="str">
        <f>'Title Page'!A10</f>
        <v>FOR THE TWELVE MONTHS ENDED DECEMBER 31, 2023</v>
      </c>
      <c r="B3" s="563"/>
      <c r="C3" s="563"/>
      <c r="D3" s="563"/>
      <c r="E3" s="563"/>
      <c r="F3" s="563"/>
      <c r="G3" s="563"/>
    </row>
    <row r="4" spans="1:7">
      <c r="B4" s="540"/>
      <c r="C4" s="540"/>
      <c r="D4" s="540"/>
      <c r="E4" s="540"/>
      <c r="F4" s="540"/>
      <c r="G4" s="540"/>
    </row>
    <row r="5" spans="1:7">
      <c r="A5" s="564" t="s">
        <v>312</v>
      </c>
      <c r="B5" s="564"/>
      <c r="C5" s="564"/>
      <c r="D5" s="564"/>
      <c r="E5" s="564"/>
      <c r="F5" s="564"/>
      <c r="G5" s="564"/>
    </row>
    <row r="6" spans="1:7">
      <c r="A6" s="564" t="s">
        <v>270</v>
      </c>
      <c r="B6" s="564"/>
      <c r="C6" s="564"/>
      <c r="D6" s="564"/>
      <c r="E6" s="564"/>
      <c r="F6" s="564"/>
      <c r="G6" s="564"/>
    </row>
    <row r="9" spans="1:7">
      <c r="E9" s="302" t="s">
        <v>192</v>
      </c>
      <c r="F9" s="29" t="s">
        <v>193</v>
      </c>
    </row>
    <row r="10" spans="1:7">
      <c r="A10" s="540">
        <v>1</v>
      </c>
      <c r="B10" s="264" t="s">
        <v>181</v>
      </c>
      <c r="E10" s="302"/>
    </row>
    <row r="11" spans="1:7">
      <c r="A11" s="540">
        <f t="shared" ref="A11:A23" si="0">A10+1</f>
        <v>2</v>
      </c>
      <c r="D11" s="193" t="s">
        <v>400</v>
      </c>
      <c r="E11" s="255"/>
      <c r="F11" s="30">
        <v>0</v>
      </c>
    </row>
    <row r="12" spans="1:7">
      <c r="A12" s="540">
        <f t="shared" si="0"/>
        <v>3</v>
      </c>
      <c r="D12" s="193" t="s">
        <v>401</v>
      </c>
      <c r="E12" s="250" t="s">
        <v>327</v>
      </c>
      <c r="F12" s="30">
        <f>'Schedule 1 Workpaper page 1'!G20</f>
        <v>391683448</v>
      </c>
      <c r="G12" s="274"/>
    </row>
    <row r="13" spans="1:7">
      <c r="A13" s="540">
        <f t="shared" si="0"/>
        <v>4</v>
      </c>
      <c r="D13" s="193" t="s">
        <v>402</v>
      </c>
      <c r="E13" s="250" t="s">
        <v>1047</v>
      </c>
      <c r="F13" s="30">
        <v>195518422</v>
      </c>
    </row>
    <row r="14" spans="1:7">
      <c r="A14" s="540">
        <f t="shared" si="0"/>
        <v>5</v>
      </c>
      <c r="D14" s="193" t="s">
        <v>399</v>
      </c>
      <c r="E14" s="250" t="s">
        <v>327</v>
      </c>
      <c r="F14" s="30">
        <f>-'Schedule 1 Workpaper page 1'!G15</f>
        <v>-166343342</v>
      </c>
    </row>
    <row r="15" spans="1:7">
      <c r="A15" s="540">
        <f t="shared" si="0"/>
        <v>6</v>
      </c>
      <c r="D15" s="193" t="s">
        <v>404</v>
      </c>
      <c r="F15" s="30">
        <f>SUM(F11:F14)</f>
        <v>420858528</v>
      </c>
    </row>
    <row r="16" spans="1:7">
      <c r="A16" s="540">
        <f t="shared" si="0"/>
        <v>7</v>
      </c>
      <c r="D16" s="193" t="s">
        <v>272</v>
      </c>
      <c r="E16" s="250" t="s">
        <v>273</v>
      </c>
      <c r="F16" s="31">
        <f>'Schedule 3'!F45</f>
        <v>0.18558682000000001</v>
      </c>
    </row>
    <row r="17" spans="1:6">
      <c r="A17" s="540">
        <f t="shared" si="0"/>
        <v>8</v>
      </c>
      <c r="D17" s="193" t="s">
        <v>271</v>
      </c>
      <c r="E17" s="417" t="s">
        <v>239</v>
      </c>
      <c r="F17" s="30">
        <f>F15*F16</f>
        <v>78105795.881400973</v>
      </c>
    </row>
    <row r="18" spans="1:6">
      <c r="A18" s="540">
        <f t="shared" si="0"/>
        <v>9</v>
      </c>
      <c r="E18" s="302"/>
    </row>
    <row r="19" spans="1:6">
      <c r="A19" s="540">
        <f t="shared" si="0"/>
        <v>10</v>
      </c>
      <c r="E19" s="302"/>
    </row>
    <row r="20" spans="1:6">
      <c r="A20" s="540">
        <f t="shared" si="0"/>
        <v>11</v>
      </c>
      <c r="B20" s="264" t="s">
        <v>274</v>
      </c>
    </row>
    <row r="21" spans="1:6">
      <c r="A21" s="540">
        <f t="shared" si="0"/>
        <v>12</v>
      </c>
      <c r="D21" s="193" t="s">
        <v>328</v>
      </c>
      <c r="E21" s="250" t="s">
        <v>1048</v>
      </c>
      <c r="F21" s="30">
        <v>536538839</v>
      </c>
    </row>
    <row r="22" spans="1:6">
      <c r="A22" s="540">
        <f t="shared" si="0"/>
        <v>13</v>
      </c>
      <c r="D22" s="193" t="s">
        <v>450</v>
      </c>
      <c r="E22" s="417" t="s">
        <v>273</v>
      </c>
      <c r="F22" s="141">
        <f>'Schedule 3'!F29</f>
        <v>0.13081923000000001</v>
      </c>
    </row>
    <row r="23" spans="1:6">
      <c r="A23" s="540">
        <f t="shared" si="0"/>
        <v>14</v>
      </c>
      <c r="D23" s="193" t="s">
        <v>275</v>
      </c>
      <c r="E23" s="417" t="s">
        <v>240</v>
      </c>
      <c r="F23" s="30">
        <f>F22*F21</f>
        <v>70189597.783073977</v>
      </c>
    </row>
    <row r="24" spans="1:6">
      <c r="A24" s="540">
        <f t="shared" ref="A24:A76" si="1">A23+1</f>
        <v>15</v>
      </c>
    </row>
    <row r="25" spans="1:6">
      <c r="A25" s="540">
        <f t="shared" si="1"/>
        <v>16</v>
      </c>
    </row>
    <row r="26" spans="1:6">
      <c r="A26" s="540">
        <f t="shared" si="1"/>
        <v>17</v>
      </c>
      <c r="B26" s="264" t="s">
        <v>367</v>
      </c>
    </row>
    <row r="27" spans="1:6">
      <c r="A27" s="540">
        <f t="shared" si="1"/>
        <v>18</v>
      </c>
      <c r="D27" s="193" t="s">
        <v>871</v>
      </c>
      <c r="E27" s="250" t="s">
        <v>1053</v>
      </c>
      <c r="F27" s="14">
        <v>145455322</v>
      </c>
    </row>
    <row r="28" spans="1:6">
      <c r="A28" s="540">
        <f t="shared" si="1"/>
        <v>19</v>
      </c>
      <c r="D28" s="193" t="s">
        <v>450</v>
      </c>
      <c r="E28" s="417" t="s">
        <v>273</v>
      </c>
      <c r="F28" s="141">
        <f>'Schedule 3'!F29</f>
        <v>0.13081923000000001</v>
      </c>
    </row>
    <row r="29" spans="1:6">
      <c r="A29" s="540">
        <f t="shared" si="1"/>
        <v>20</v>
      </c>
      <c r="D29" s="193" t="s">
        <v>872</v>
      </c>
      <c r="E29" s="417" t="s">
        <v>241</v>
      </c>
      <c r="F29" s="30">
        <f>F28*F27</f>
        <v>19028353.223442063</v>
      </c>
    </row>
    <row r="30" spans="1:6">
      <c r="A30" s="540">
        <f t="shared" si="1"/>
        <v>21</v>
      </c>
    </row>
    <row r="31" spans="1:6">
      <c r="A31" s="540">
        <f t="shared" si="1"/>
        <v>22</v>
      </c>
    </row>
    <row r="32" spans="1:6">
      <c r="A32" s="540">
        <f t="shared" si="1"/>
        <v>23</v>
      </c>
      <c r="B32" s="264" t="s">
        <v>276</v>
      </c>
    </row>
    <row r="33" spans="1:6">
      <c r="A33" s="540">
        <f t="shared" si="1"/>
        <v>24</v>
      </c>
      <c r="D33" s="193" t="s">
        <v>277</v>
      </c>
      <c r="E33" s="250" t="s">
        <v>1049</v>
      </c>
      <c r="F33" s="30">
        <v>115575162</v>
      </c>
    </row>
    <row r="34" spans="1:6">
      <c r="A34" s="540">
        <f t="shared" si="1"/>
        <v>25</v>
      </c>
      <c r="D34" s="193" t="s">
        <v>450</v>
      </c>
      <c r="E34" s="417" t="s">
        <v>273</v>
      </c>
      <c r="F34" s="141">
        <f>'Schedule 3'!F29</f>
        <v>0.13081923000000001</v>
      </c>
    </row>
    <row r="35" spans="1:6">
      <c r="A35" s="540">
        <f t="shared" si="1"/>
        <v>26</v>
      </c>
      <c r="D35" s="193" t="s">
        <v>278</v>
      </c>
      <c r="E35" s="417" t="s">
        <v>242</v>
      </c>
      <c r="F35" s="30">
        <f>F34*F33</f>
        <v>15119453.699965261</v>
      </c>
    </row>
    <row r="36" spans="1:6">
      <c r="A36" s="540">
        <f t="shared" si="1"/>
        <v>27</v>
      </c>
    </row>
    <row r="37" spans="1:6">
      <c r="A37" s="540">
        <f t="shared" si="1"/>
        <v>28</v>
      </c>
    </row>
    <row r="38" spans="1:6">
      <c r="A38" s="540">
        <f t="shared" si="1"/>
        <v>29</v>
      </c>
      <c r="B38" s="264" t="s">
        <v>410</v>
      </c>
    </row>
    <row r="39" spans="1:6">
      <c r="A39" s="540">
        <f t="shared" si="1"/>
        <v>30</v>
      </c>
      <c r="D39" s="193" t="s">
        <v>410</v>
      </c>
      <c r="E39" s="250" t="s">
        <v>1050</v>
      </c>
      <c r="F39" s="30">
        <v>44487567</v>
      </c>
    </row>
    <row r="40" spans="1:6">
      <c r="A40" s="540">
        <f t="shared" si="1"/>
        <v>31</v>
      </c>
      <c r="D40" s="193" t="s">
        <v>450</v>
      </c>
      <c r="E40" s="250" t="s">
        <v>273</v>
      </c>
      <c r="F40" s="141">
        <f>'Schedule 3'!F29</f>
        <v>0.13081923000000001</v>
      </c>
    </row>
    <row r="41" spans="1:6">
      <c r="A41" s="540">
        <f t="shared" si="1"/>
        <v>32</v>
      </c>
      <c r="D41" s="193" t="s">
        <v>420</v>
      </c>
      <c r="E41" s="417" t="s">
        <v>243</v>
      </c>
      <c r="F41" s="30">
        <f>F39*F40</f>
        <v>5819829.2595134107</v>
      </c>
    </row>
    <row r="42" spans="1:6">
      <c r="A42" s="540">
        <f t="shared" si="1"/>
        <v>33</v>
      </c>
    </row>
    <row r="43" spans="1:6">
      <c r="A43" s="540">
        <f t="shared" si="1"/>
        <v>34</v>
      </c>
    </row>
    <row r="44" spans="1:6">
      <c r="A44" s="540">
        <f t="shared" si="1"/>
        <v>35</v>
      </c>
      <c r="B44" s="264" t="s">
        <v>408</v>
      </c>
    </row>
    <row r="45" spans="1:6">
      <c r="A45" s="540">
        <f t="shared" si="1"/>
        <v>36</v>
      </c>
      <c r="D45" s="193" t="s">
        <v>400</v>
      </c>
      <c r="E45" s="255"/>
      <c r="F45" s="30">
        <f xml:space="preserve"> F11</f>
        <v>0</v>
      </c>
    </row>
    <row r="46" spans="1:6">
      <c r="A46" s="540">
        <f t="shared" si="1"/>
        <v>37</v>
      </c>
      <c r="D46" s="193" t="s">
        <v>401</v>
      </c>
      <c r="E46" s="250" t="s">
        <v>327</v>
      </c>
      <c r="F46" s="30">
        <f>F12</f>
        <v>391683448</v>
      </c>
    </row>
    <row r="47" spans="1:6">
      <c r="A47" s="540">
        <f t="shared" si="1"/>
        <v>38</v>
      </c>
      <c r="D47" s="193" t="s">
        <v>402</v>
      </c>
      <c r="E47" s="250" t="s">
        <v>1047</v>
      </c>
      <c r="F47" s="30">
        <f xml:space="preserve"> F13</f>
        <v>195518422</v>
      </c>
    </row>
    <row r="48" spans="1:6">
      <c r="A48" s="540">
        <f t="shared" si="1"/>
        <v>39</v>
      </c>
      <c r="D48" s="193" t="s">
        <v>399</v>
      </c>
      <c r="E48" s="250" t="s">
        <v>154</v>
      </c>
      <c r="F48" s="30">
        <f xml:space="preserve"> F14</f>
        <v>-166343342</v>
      </c>
    </row>
    <row r="49" spans="1:7">
      <c r="A49" s="540">
        <f t="shared" si="1"/>
        <v>40</v>
      </c>
      <c r="D49" s="193" t="s">
        <v>404</v>
      </c>
      <c r="E49" s="417" t="s">
        <v>235</v>
      </c>
      <c r="F49" s="30">
        <f>SUM(F45:F48)</f>
        <v>420858528</v>
      </c>
    </row>
    <row r="50" spans="1:7">
      <c r="A50" s="540">
        <f t="shared" si="1"/>
        <v>41</v>
      </c>
      <c r="D50" s="193" t="s">
        <v>365</v>
      </c>
      <c r="E50" s="417" t="s">
        <v>273</v>
      </c>
      <c r="F50" s="141">
        <f>'Schedule 3'!F53</f>
        <v>1.176105E-2</v>
      </c>
    </row>
    <row r="51" spans="1:7">
      <c r="A51" s="540">
        <f t="shared" si="1"/>
        <v>42</v>
      </c>
      <c r="D51" s="193" t="s">
        <v>366</v>
      </c>
      <c r="E51" s="417" t="s">
        <v>244</v>
      </c>
      <c r="F51" s="30">
        <f>F49*F50</f>
        <v>4949738.1907344004</v>
      </c>
    </row>
    <row r="52" spans="1:7">
      <c r="A52" s="540">
        <f t="shared" si="1"/>
        <v>43</v>
      </c>
    </row>
    <row r="53" spans="1:7">
      <c r="A53" s="540">
        <f t="shared" si="1"/>
        <v>44</v>
      </c>
      <c r="E53" s="193"/>
      <c r="F53" s="193"/>
    </row>
    <row r="54" spans="1:7">
      <c r="A54" s="540">
        <f t="shared" si="1"/>
        <v>45</v>
      </c>
      <c r="B54" s="264" t="s">
        <v>301</v>
      </c>
      <c r="E54" s="193"/>
      <c r="F54" s="193"/>
    </row>
    <row r="55" spans="1:7">
      <c r="A55" s="540">
        <f t="shared" si="1"/>
        <v>46</v>
      </c>
      <c r="D55" s="193" t="s">
        <v>204</v>
      </c>
      <c r="E55" s="250" t="s">
        <v>845</v>
      </c>
      <c r="F55" s="346">
        <f>'Schedule 2'!F79+'Rate Calculation'!E42+'Rate Calculation'!E43</f>
        <v>18387330.446666665</v>
      </c>
    </row>
    <row r="56" spans="1:7">
      <c r="A56" s="540">
        <f t="shared" si="1"/>
        <v>47</v>
      </c>
      <c r="D56" s="193" t="s">
        <v>331</v>
      </c>
      <c r="E56" s="417" t="s">
        <v>206</v>
      </c>
      <c r="F56" s="30">
        <f>'Schedule 2'!F30</f>
        <v>23349853.900396828</v>
      </c>
    </row>
    <row r="57" spans="1:7">
      <c r="A57" s="540">
        <f t="shared" si="1"/>
        <v>48</v>
      </c>
      <c r="D57" s="193" t="s">
        <v>332</v>
      </c>
      <c r="E57" s="417" t="s">
        <v>1034</v>
      </c>
      <c r="F57" s="30">
        <f>(F55+F56)*0.125</f>
        <v>5217148.0433829371</v>
      </c>
      <c r="G57" s="512"/>
    </row>
    <row r="58" spans="1:7">
      <c r="A58" s="540">
        <f t="shared" si="1"/>
        <v>49</v>
      </c>
      <c r="F58" s="40"/>
    </row>
    <row r="59" spans="1:7">
      <c r="A59" s="540">
        <f t="shared" si="1"/>
        <v>50</v>
      </c>
    </row>
    <row r="60" spans="1:7">
      <c r="A60" s="540">
        <f t="shared" si="1"/>
        <v>51</v>
      </c>
      <c r="B60" s="264" t="s">
        <v>354</v>
      </c>
    </row>
    <row r="61" spans="1:7">
      <c r="A61" s="540">
        <f t="shared" si="1"/>
        <v>52</v>
      </c>
      <c r="D61" s="193" t="s">
        <v>329</v>
      </c>
      <c r="E61" s="250" t="s">
        <v>1051</v>
      </c>
      <c r="F61" s="30">
        <v>22710298</v>
      </c>
    </row>
    <row r="62" spans="1:7">
      <c r="A62" s="540">
        <f t="shared" si="1"/>
        <v>53</v>
      </c>
      <c r="D62" s="193" t="s">
        <v>164</v>
      </c>
      <c r="F62" s="30">
        <v>0</v>
      </c>
    </row>
    <row r="63" spans="1:7">
      <c r="A63" s="540">
        <f t="shared" si="1"/>
        <v>54</v>
      </c>
      <c r="D63" s="193" t="s">
        <v>165</v>
      </c>
      <c r="E63" s="417" t="s">
        <v>236</v>
      </c>
      <c r="F63" s="30">
        <f>F61-F62</f>
        <v>22710298</v>
      </c>
    </row>
    <row r="64" spans="1:7">
      <c r="A64" s="540">
        <f t="shared" si="1"/>
        <v>55</v>
      </c>
      <c r="D64" s="193" t="s">
        <v>450</v>
      </c>
      <c r="E64" s="250" t="s">
        <v>273</v>
      </c>
      <c r="F64" s="141">
        <f>'Schedule 3'!F29</f>
        <v>0.13081923000000001</v>
      </c>
    </row>
    <row r="65" spans="1:6">
      <c r="A65" s="540">
        <f t="shared" si="1"/>
        <v>56</v>
      </c>
      <c r="D65" s="193" t="s">
        <v>355</v>
      </c>
      <c r="E65" s="417" t="s">
        <v>245</v>
      </c>
      <c r="F65" s="30">
        <f>F63*F64</f>
        <v>2970943.6974305403</v>
      </c>
    </row>
    <row r="66" spans="1:6">
      <c r="A66" s="540">
        <f t="shared" si="1"/>
        <v>57</v>
      </c>
      <c r="E66" s="417"/>
    </row>
    <row r="67" spans="1:6">
      <c r="A67" s="540">
        <f t="shared" si="1"/>
        <v>58</v>
      </c>
    </row>
    <row r="68" spans="1:6">
      <c r="A68" s="540">
        <f t="shared" si="1"/>
        <v>59</v>
      </c>
      <c r="B68" s="264" t="s">
        <v>433</v>
      </c>
    </row>
    <row r="69" spans="1:6">
      <c r="A69" s="540">
        <f t="shared" si="1"/>
        <v>60</v>
      </c>
      <c r="D69" s="193" t="s">
        <v>433</v>
      </c>
      <c r="E69" s="250" t="s">
        <v>1035</v>
      </c>
      <c r="F69" s="30">
        <v>0</v>
      </c>
    </row>
    <row r="70" spans="1:6">
      <c r="A70" s="540">
        <f t="shared" si="1"/>
        <v>61</v>
      </c>
      <c r="D70" s="193" t="s">
        <v>450</v>
      </c>
      <c r="E70" s="250" t="s">
        <v>273</v>
      </c>
      <c r="F70" s="141">
        <f>'Schedule 3'!F29</f>
        <v>0.13081923000000001</v>
      </c>
    </row>
    <row r="71" spans="1:6">
      <c r="A71" s="540">
        <f t="shared" si="1"/>
        <v>62</v>
      </c>
      <c r="D71" s="193" t="s">
        <v>434</v>
      </c>
      <c r="E71" s="417" t="s">
        <v>246</v>
      </c>
      <c r="F71" s="30">
        <f>F69*F70</f>
        <v>0</v>
      </c>
    </row>
    <row r="72" spans="1:6">
      <c r="A72" s="540">
        <f t="shared" si="1"/>
        <v>63</v>
      </c>
      <c r="E72" s="417"/>
    </row>
    <row r="73" spans="1:6">
      <c r="A73" s="540">
        <f t="shared" si="1"/>
        <v>64</v>
      </c>
    </row>
    <row r="74" spans="1:6">
      <c r="A74" s="540">
        <f t="shared" si="1"/>
        <v>65</v>
      </c>
      <c r="B74" s="264" t="s">
        <v>436</v>
      </c>
    </row>
    <row r="75" spans="1:6">
      <c r="A75" s="540">
        <f t="shared" si="1"/>
        <v>66</v>
      </c>
      <c r="D75" s="193" t="s">
        <v>440</v>
      </c>
      <c r="E75" s="250" t="s">
        <v>1037</v>
      </c>
      <c r="F75" s="30">
        <v>48400412</v>
      </c>
    </row>
    <row r="76" spans="1:6">
      <c r="A76" s="540">
        <f t="shared" si="1"/>
        <v>67</v>
      </c>
      <c r="D76" s="193" t="s">
        <v>441</v>
      </c>
      <c r="E76" s="250" t="s">
        <v>1036</v>
      </c>
      <c r="F76" s="30">
        <v>1768276</v>
      </c>
    </row>
    <row r="77" spans="1:6">
      <c r="A77" s="540">
        <f t="shared" ref="A77:A82" si="2">A76+1</f>
        <v>68</v>
      </c>
      <c r="D77" s="193" t="s">
        <v>450</v>
      </c>
      <c r="E77" s="250" t="s">
        <v>273</v>
      </c>
      <c r="F77" s="141">
        <f>'Schedule 3'!F29</f>
        <v>0.13081923000000001</v>
      </c>
    </row>
    <row r="78" spans="1:6">
      <c r="A78" s="540">
        <f t="shared" si="2"/>
        <v>69</v>
      </c>
      <c r="D78" s="193" t="s">
        <v>442</v>
      </c>
      <c r="E78" s="417" t="s">
        <v>247</v>
      </c>
      <c r="F78" s="30">
        <f>F76*F77</f>
        <v>231324.50474748001</v>
      </c>
    </row>
    <row r="79" spans="1:6">
      <c r="A79" s="540">
        <f t="shared" si="2"/>
        <v>70</v>
      </c>
      <c r="D79" s="193" t="s">
        <v>743</v>
      </c>
      <c r="E79" s="250" t="s">
        <v>1052</v>
      </c>
      <c r="F79" s="30">
        <v>4221832</v>
      </c>
    </row>
    <row r="80" spans="1:6">
      <c r="A80" s="540">
        <f t="shared" si="2"/>
        <v>71</v>
      </c>
      <c r="D80" s="193" t="s">
        <v>449</v>
      </c>
      <c r="E80" s="250" t="s">
        <v>273</v>
      </c>
      <c r="F80" s="141">
        <f>'Schedule 3'!F39</f>
        <v>0.19734787000000001</v>
      </c>
    </row>
    <row r="81" spans="1:6">
      <c r="A81" s="540">
        <f t="shared" si="2"/>
        <v>72</v>
      </c>
      <c r="D81" s="193" t="s">
        <v>437</v>
      </c>
      <c r="E81" s="417" t="s">
        <v>248</v>
      </c>
      <c r="F81" s="30">
        <f>F79*F80</f>
        <v>833169.55269784003</v>
      </c>
    </row>
    <row r="82" spans="1:6">
      <c r="A82" s="540">
        <f t="shared" si="2"/>
        <v>73</v>
      </c>
      <c r="D82" s="193" t="s">
        <v>438</v>
      </c>
      <c r="E82" s="417" t="s">
        <v>237</v>
      </c>
      <c r="F82" s="30">
        <f>F75+F78+F81</f>
        <v>49464906.057445318</v>
      </c>
    </row>
  </sheetData>
  <sheetProtection formatCells="0"/>
  <mergeCells count="5">
    <mergeCell ref="A5:G5"/>
    <mergeCell ref="A6:G6"/>
    <mergeCell ref="A1:G1"/>
    <mergeCell ref="A2:G2"/>
    <mergeCell ref="A3:G3"/>
  </mergeCells>
  <phoneticPr fontId="0" type="noConversion"/>
  <printOptions horizontalCentered="1"/>
  <pageMargins left="0.75" right="0.75" top="1" bottom="1" header="0.5" footer="0.5"/>
  <pageSetup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83"/>
  <sheetViews>
    <sheetView zoomScale="118" zoomScaleNormal="100" zoomScaleSheetLayoutView="100" zoomScalePageLayoutView="75" workbookViewId="0">
      <selection sqref="A1:XFD1048576"/>
    </sheetView>
  </sheetViews>
  <sheetFormatPr defaultColWidth="9.140625" defaultRowHeight="12.75"/>
  <cols>
    <col min="1" max="1" width="4.5703125" style="540" customWidth="1"/>
    <col min="2" max="2" width="4" style="193" customWidth="1"/>
    <col min="3" max="3" width="3.7109375" style="263" customWidth="1"/>
    <col min="4" max="4" width="64.7109375" style="193" bestFit="1" customWidth="1"/>
    <col min="5" max="5" width="66.28515625" style="250" customWidth="1"/>
    <col min="6" max="6" width="18" style="193" customWidth="1"/>
    <col min="7" max="7" width="9.140625" style="193"/>
    <col min="8" max="8" width="11.28515625" style="193" bestFit="1" customWidth="1"/>
    <col min="9" max="16384" width="9.140625" style="193"/>
  </cols>
  <sheetData>
    <row r="1" spans="1:7">
      <c r="A1" s="563" t="s">
        <v>459</v>
      </c>
      <c r="B1" s="563"/>
      <c r="C1" s="563"/>
      <c r="D1" s="563"/>
      <c r="E1" s="563"/>
      <c r="F1" s="563"/>
      <c r="G1" s="563"/>
    </row>
    <row r="2" spans="1:7">
      <c r="A2" s="563" t="s">
        <v>1038</v>
      </c>
      <c r="B2" s="563"/>
      <c r="C2" s="563"/>
      <c r="D2" s="563"/>
      <c r="E2" s="563"/>
      <c r="F2" s="563"/>
      <c r="G2" s="563"/>
    </row>
    <row r="3" spans="1:7">
      <c r="A3" s="563" t="str">
        <f>'Title Page'!A10</f>
        <v>FOR THE TWELVE MONTHS ENDED DECEMBER 31, 2023</v>
      </c>
      <c r="B3" s="563"/>
      <c r="C3" s="563"/>
      <c r="D3" s="563"/>
      <c r="E3" s="563"/>
      <c r="F3" s="563"/>
      <c r="G3" s="563"/>
    </row>
    <row r="4" spans="1:7">
      <c r="B4" s="540"/>
      <c r="C4" s="540"/>
      <c r="D4" s="540"/>
      <c r="E4" s="540"/>
      <c r="F4" s="540"/>
      <c r="G4" s="540"/>
    </row>
    <row r="5" spans="1:7">
      <c r="A5" s="564" t="s">
        <v>313</v>
      </c>
      <c r="B5" s="564"/>
      <c r="C5" s="564"/>
      <c r="D5" s="564"/>
      <c r="E5" s="564"/>
      <c r="F5" s="564"/>
      <c r="G5" s="564"/>
    </row>
    <row r="6" spans="1:7">
      <c r="A6" s="564" t="s">
        <v>333</v>
      </c>
      <c r="B6" s="564"/>
      <c r="C6" s="564"/>
      <c r="D6" s="564"/>
      <c r="E6" s="564"/>
      <c r="F6" s="564"/>
      <c r="G6" s="564"/>
    </row>
    <row r="9" spans="1:7">
      <c r="E9" s="302" t="s">
        <v>192</v>
      </c>
      <c r="F9" s="29" t="s">
        <v>193</v>
      </c>
    </row>
    <row r="10" spans="1:7">
      <c r="A10" s="540">
        <v>1</v>
      </c>
      <c r="B10" s="264" t="s">
        <v>334</v>
      </c>
      <c r="E10" s="302"/>
      <c r="F10" s="30"/>
    </row>
    <row r="11" spans="1:7" ht="25.5">
      <c r="A11" s="540">
        <f t="shared" ref="A11:A35" si="0">A10+1</f>
        <v>2</v>
      </c>
      <c r="D11" s="262" t="s">
        <v>977</v>
      </c>
      <c r="E11" s="250" t="s">
        <v>1333</v>
      </c>
      <c r="F11" s="30">
        <f>174739005-115733</f>
        <v>174623272</v>
      </c>
      <c r="G11" s="508"/>
    </row>
    <row r="12" spans="1:7">
      <c r="A12" s="540">
        <f t="shared" si="0"/>
        <v>3</v>
      </c>
      <c r="D12" s="193" t="s">
        <v>373</v>
      </c>
      <c r="E12" s="250" t="s">
        <v>1046</v>
      </c>
      <c r="F12" s="30">
        <v>-3330773</v>
      </c>
    </row>
    <row r="13" spans="1:7">
      <c r="A13" s="540">
        <f t="shared" si="0"/>
        <v>4</v>
      </c>
      <c r="D13" s="193" t="s">
        <v>374</v>
      </c>
      <c r="E13" s="250" t="s">
        <v>1045</v>
      </c>
      <c r="F13" s="30">
        <v>-6154682</v>
      </c>
    </row>
    <row r="14" spans="1:7">
      <c r="A14" s="540">
        <f t="shared" si="0"/>
        <v>5</v>
      </c>
      <c r="D14" s="193" t="s">
        <v>375</v>
      </c>
      <c r="E14" s="250" t="s">
        <v>1044</v>
      </c>
      <c r="F14" s="30">
        <v>-36746</v>
      </c>
    </row>
    <row r="15" spans="1:7">
      <c r="A15" s="540">
        <f t="shared" si="0"/>
        <v>6</v>
      </c>
      <c r="D15" s="193" t="s">
        <v>450</v>
      </c>
      <c r="E15" s="250" t="s">
        <v>273</v>
      </c>
      <c r="F15" s="141">
        <f>'Schedule 3'!F29</f>
        <v>0.13081923000000001</v>
      </c>
    </row>
    <row r="16" spans="1:7">
      <c r="A16" s="540">
        <f t="shared" si="0"/>
        <v>7</v>
      </c>
      <c r="D16" s="193" t="s">
        <v>362</v>
      </c>
      <c r="E16" s="417" t="s">
        <v>250</v>
      </c>
      <c r="F16" s="30">
        <f>(F11+F12+F13+F14) * F15</f>
        <v>21598394.980395332</v>
      </c>
    </row>
    <row r="17" spans="1:15">
      <c r="A17" s="540">
        <f t="shared" si="0"/>
        <v>8</v>
      </c>
      <c r="E17" s="302"/>
      <c r="F17" s="30"/>
    </row>
    <row r="18" spans="1:15">
      <c r="A18" s="540">
        <f t="shared" si="0"/>
        <v>9</v>
      </c>
      <c r="D18" s="193" t="s">
        <v>356</v>
      </c>
      <c r="E18" s="250" t="s">
        <v>1043</v>
      </c>
      <c r="F18" s="30">
        <f>-F12</f>
        <v>3330773</v>
      </c>
    </row>
    <row r="19" spans="1:15">
      <c r="A19" s="540">
        <f t="shared" si="0"/>
        <v>10</v>
      </c>
      <c r="D19" s="193" t="s">
        <v>449</v>
      </c>
      <c r="E19" s="250" t="s">
        <v>273</v>
      </c>
      <c r="F19" s="141">
        <f>'Schedule 3'!F39</f>
        <v>0.19734787000000001</v>
      </c>
    </row>
    <row r="20" spans="1:15">
      <c r="A20" s="540">
        <f t="shared" si="0"/>
        <v>11</v>
      </c>
      <c r="D20" s="193" t="s">
        <v>357</v>
      </c>
      <c r="E20" s="417" t="s">
        <v>238</v>
      </c>
      <c r="F20" s="30">
        <f>F18*F19</f>
        <v>657320.95700350998</v>
      </c>
    </row>
    <row r="21" spans="1:15">
      <c r="A21" s="540">
        <f t="shared" si="0"/>
        <v>12</v>
      </c>
      <c r="E21" s="302"/>
      <c r="F21" s="30"/>
    </row>
    <row r="22" spans="1:15">
      <c r="A22" s="540">
        <f t="shared" si="0"/>
        <v>13</v>
      </c>
      <c r="D22" s="193" t="s">
        <v>358</v>
      </c>
      <c r="E22" s="250" t="s">
        <v>1042</v>
      </c>
      <c r="F22" s="30">
        <f>5197045+283013</f>
        <v>5480058</v>
      </c>
      <c r="G22" s="255"/>
      <c r="H22" s="255"/>
      <c r="I22" s="255"/>
      <c r="J22" s="255"/>
      <c r="K22" s="255"/>
      <c r="L22" s="255"/>
      <c r="M22" s="255"/>
      <c r="N22" s="255"/>
      <c r="O22" s="255"/>
    </row>
    <row r="23" spans="1:15">
      <c r="A23" s="540">
        <f t="shared" si="0"/>
        <v>14</v>
      </c>
      <c r="D23" s="193" t="s">
        <v>449</v>
      </c>
      <c r="E23" s="250" t="s">
        <v>273</v>
      </c>
      <c r="F23" s="141">
        <f>'Schedule 3'!F39</f>
        <v>0.19734787000000001</v>
      </c>
    </row>
    <row r="24" spans="1:15">
      <c r="A24" s="540">
        <f t="shared" si="0"/>
        <v>15</v>
      </c>
      <c r="D24" s="193" t="s">
        <v>359</v>
      </c>
      <c r="E24" s="417" t="s">
        <v>240</v>
      </c>
      <c r="F24" s="30">
        <f>F22*F23</f>
        <v>1081477.77377646</v>
      </c>
    </row>
    <row r="25" spans="1:15">
      <c r="A25" s="540">
        <f t="shared" si="0"/>
        <v>16</v>
      </c>
      <c r="E25" s="302"/>
      <c r="F25" s="30"/>
    </row>
    <row r="26" spans="1:15">
      <c r="A26" s="540">
        <f t="shared" si="0"/>
        <v>17</v>
      </c>
      <c r="D26" s="193" t="s">
        <v>360</v>
      </c>
      <c r="E26" s="250" t="s">
        <v>1041</v>
      </c>
      <c r="F26" s="30">
        <v>0</v>
      </c>
    </row>
    <row r="27" spans="1:15">
      <c r="A27" s="540">
        <f t="shared" si="0"/>
        <v>18</v>
      </c>
      <c r="F27" s="32"/>
    </row>
    <row r="28" spans="1:15">
      <c r="A28" s="540">
        <f t="shared" si="0"/>
        <v>19</v>
      </c>
      <c r="D28" s="193" t="s">
        <v>798</v>
      </c>
      <c r="E28" s="250" t="s">
        <v>883</v>
      </c>
      <c r="F28" s="30">
        <f>'Schedule 2 Workpaper page 4'!D27</f>
        <v>12660.189221522756</v>
      </c>
      <c r="H28" s="346"/>
    </row>
    <row r="29" spans="1:15">
      <c r="A29" s="540">
        <f t="shared" si="0"/>
        <v>20</v>
      </c>
      <c r="E29" s="302"/>
      <c r="F29" s="30"/>
    </row>
    <row r="30" spans="1:15">
      <c r="A30" s="540">
        <f t="shared" si="0"/>
        <v>21</v>
      </c>
      <c r="D30" s="193" t="s">
        <v>361</v>
      </c>
      <c r="E30" s="417" t="s">
        <v>168</v>
      </c>
      <c r="F30" s="30">
        <f>F16+F20+F24+F26+F28</f>
        <v>23349853.900396828</v>
      </c>
    </row>
    <row r="31" spans="1:15">
      <c r="A31" s="540">
        <f t="shared" si="0"/>
        <v>22</v>
      </c>
      <c r="E31" s="302"/>
      <c r="F31" s="32"/>
    </row>
    <row r="32" spans="1:15">
      <c r="A32" s="540">
        <f t="shared" si="0"/>
        <v>23</v>
      </c>
      <c r="B32" s="264" t="s">
        <v>29</v>
      </c>
      <c r="F32" s="30"/>
    </row>
    <row r="33" spans="1:15">
      <c r="A33" s="540">
        <f t="shared" si="0"/>
        <v>24</v>
      </c>
      <c r="D33" s="193" t="s">
        <v>443</v>
      </c>
      <c r="E33" s="250" t="s">
        <v>1055</v>
      </c>
      <c r="F33" s="30">
        <v>17996077</v>
      </c>
      <c r="G33" s="508"/>
    </row>
    <row r="34" spans="1:15">
      <c r="A34" s="540">
        <f t="shared" si="0"/>
        <v>25</v>
      </c>
      <c r="D34" s="193" t="s">
        <v>450</v>
      </c>
      <c r="E34" s="417" t="s">
        <v>273</v>
      </c>
      <c r="F34" s="141">
        <f>'Schedule 3'!F29</f>
        <v>0.13081923000000001</v>
      </c>
    </row>
    <row r="35" spans="1:15">
      <c r="A35" s="540">
        <f t="shared" si="0"/>
        <v>26</v>
      </c>
      <c r="D35" s="193" t="s">
        <v>275</v>
      </c>
      <c r="E35" s="417" t="s">
        <v>249</v>
      </c>
      <c r="F35" s="30">
        <f>F34*F33</f>
        <v>2354232.9361607102</v>
      </c>
    </row>
    <row r="36" spans="1:15">
      <c r="A36" s="540">
        <f t="shared" ref="A36:A77" si="1">A35+1</f>
        <v>27</v>
      </c>
      <c r="E36" s="417"/>
      <c r="F36" s="30"/>
    </row>
    <row r="37" spans="1:15">
      <c r="A37" s="540">
        <f t="shared" si="1"/>
        <v>28</v>
      </c>
      <c r="F37" s="30"/>
    </row>
    <row r="38" spans="1:15">
      <c r="A38" s="540">
        <f t="shared" si="1"/>
        <v>29</v>
      </c>
      <c r="B38" s="264" t="s">
        <v>967</v>
      </c>
    </row>
    <row r="39" spans="1:15">
      <c r="A39" s="540">
        <f t="shared" si="1"/>
        <v>30</v>
      </c>
      <c r="D39" s="193" t="s">
        <v>1084</v>
      </c>
      <c r="E39" s="250" t="s">
        <v>1040</v>
      </c>
      <c r="F39" s="14">
        <v>10684156</v>
      </c>
      <c r="G39" s="508"/>
      <c r="H39" s="255"/>
      <c r="I39" s="255"/>
      <c r="J39" s="255"/>
      <c r="K39" s="255"/>
      <c r="L39" s="255"/>
      <c r="M39" s="255"/>
      <c r="N39" s="255"/>
      <c r="O39" s="255"/>
    </row>
    <row r="40" spans="1:15">
      <c r="A40" s="540">
        <f t="shared" si="1"/>
        <v>31</v>
      </c>
      <c r="D40" s="193" t="s">
        <v>380</v>
      </c>
      <c r="E40" s="250" t="s">
        <v>1039</v>
      </c>
      <c r="F40" s="14">
        <v>5450895</v>
      </c>
      <c r="G40" s="255"/>
      <c r="H40" s="255"/>
      <c r="I40" s="255"/>
      <c r="J40" s="255"/>
      <c r="K40" s="255"/>
      <c r="L40" s="255"/>
      <c r="M40" s="255"/>
      <c r="N40" s="255"/>
      <c r="O40" s="255"/>
    </row>
    <row r="41" spans="1:15">
      <c r="A41" s="540">
        <f t="shared" si="1"/>
        <v>32</v>
      </c>
      <c r="D41" s="193" t="s">
        <v>449</v>
      </c>
      <c r="E41" s="250" t="s">
        <v>273</v>
      </c>
      <c r="F41" s="141">
        <f>'Schedule 3'!F39</f>
        <v>0.19734787000000001</v>
      </c>
    </row>
    <row r="42" spans="1:15">
      <c r="A42" s="540">
        <f t="shared" si="1"/>
        <v>33</v>
      </c>
      <c r="D42" s="193" t="s">
        <v>970</v>
      </c>
      <c r="E42" s="417" t="s">
        <v>961</v>
      </c>
      <c r="F42" s="14">
        <f>-(F39+F40)*F41</f>
        <v>-3184217.9471913702</v>
      </c>
    </row>
    <row r="43" spans="1:15">
      <c r="A43" s="540">
        <f t="shared" si="1"/>
        <v>34</v>
      </c>
      <c r="D43" s="193" t="s">
        <v>969</v>
      </c>
      <c r="E43" s="509">
        <v>-35</v>
      </c>
      <c r="F43" s="346">
        <f>F42</f>
        <v>-3184217.9471913702</v>
      </c>
    </row>
    <row r="44" spans="1:15">
      <c r="A44" s="540">
        <f t="shared" si="1"/>
        <v>35</v>
      </c>
    </row>
    <row r="45" spans="1:15">
      <c r="A45" s="540">
        <f t="shared" si="1"/>
        <v>36</v>
      </c>
    </row>
    <row r="46" spans="1:15">
      <c r="A46" s="540">
        <f t="shared" si="1"/>
        <v>37</v>
      </c>
      <c r="B46" s="264" t="s">
        <v>335</v>
      </c>
    </row>
    <row r="47" spans="1:15">
      <c r="A47" s="540">
        <f t="shared" si="1"/>
        <v>38</v>
      </c>
      <c r="D47" s="193" t="s">
        <v>899</v>
      </c>
      <c r="E47" s="250" t="s">
        <v>1181</v>
      </c>
      <c r="F47" s="267">
        <v>19554299</v>
      </c>
    </row>
    <row r="48" spans="1:15">
      <c r="A48" s="540">
        <f t="shared" si="1"/>
        <v>39</v>
      </c>
      <c r="D48" s="193" t="s">
        <v>189</v>
      </c>
      <c r="E48" s="250" t="s">
        <v>73</v>
      </c>
      <c r="F48" s="267">
        <f>'Schedule 2 Workpaper page 3'!C30</f>
        <v>5094471.43</v>
      </c>
    </row>
    <row r="49" spans="1:6">
      <c r="A49" s="540">
        <f t="shared" si="1"/>
        <v>40</v>
      </c>
      <c r="D49" s="193" t="s">
        <v>498</v>
      </c>
      <c r="E49" s="250" t="s">
        <v>799</v>
      </c>
      <c r="F49" s="14">
        <f>-(F48*'Schedule 3'!F13)</f>
        <v>-150148.6432303898</v>
      </c>
    </row>
    <row r="50" spans="1:6">
      <c r="A50" s="540">
        <f t="shared" si="1"/>
        <v>41</v>
      </c>
      <c r="D50" s="193" t="s">
        <v>499</v>
      </c>
      <c r="E50" s="250" t="s">
        <v>800</v>
      </c>
      <c r="F50" s="510">
        <f>-(F48*'Schedule 3'!F19)</f>
        <v>-13959.259275914401</v>
      </c>
    </row>
    <row r="51" spans="1:6">
      <c r="A51" s="540">
        <f t="shared" si="1"/>
        <v>42</v>
      </c>
      <c r="D51" s="193" t="s">
        <v>190</v>
      </c>
      <c r="E51" s="250" t="s">
        <v>73</v>
      </c>
      <c r="F51" s="267">
        <f>'Schedule 2 Workpaper page 3'!C31</f>
        <v>1071005.03</v>
      </c>
    </row>
    <row r="52" spans="1:6">
      <c r="A52" s="540">
        <f t="shared" si="1"/>
        <v>43</v>
      </c>
      <c r="D52" s="193" t="s">
        <v>450</v>
      </c>
      <c r="E52" s="250" t="s">
        <v>273</v>
      </c>
      <c r="F52" s="141">
        <f>'Schedule 3'!F29</f>
        <v>0.13081923000000001</v>
      </c>
    </row>
    <row r="53" spans="1:6">
      <c r="A53" s="540">
        <f t="shared" si="1"/>
        <v>44</v>
      </c>
      <c r="D53" s="193" t="s">
        <v>376</v>
      </c>
      <c r="E53" s="250" t="s">
        <v>962</v>
      </c>
      <c r="F53" s="267">
        <f>F51*F52</f>
        <v>140108.0533507269</v>
      </c>
    </row>
    <row r="54" spans="1:6">
      <c r="A54" s="540">
        <f t="shared" si="1"/>
        <v>45</v>
      </c>
      <c r="D54" s="193" t="s">
        <v>873</v>
      </c>
      <c r="E54" s="250" t="s">
        <v>1182</v>
      </c>
      <c r="F54" s="267">
        <v>20385033</v>
      </c>
    </row>
    <row r="55" spans="1:6">
      <c r="A55" s="540">
        <f t="shared" si="1"/>
        <v>46</v>
      </c>
      <c r="D55" s="193" t="s">
        <v>448</v>
      </c>
      <c r="E55" s="250" t="s">
        <v>457</v>
      </c>
      <c r="F55" s="510">
        <f>-F54</f>
        <v>-20385033</v>
      </c>
    </row>
    <row r="56" spans="1:6">
      <c r="A56" s="540">
        <f t="shared" si="1"/>
        <v>47</v>
      </c>
      <c r="D56" s="193" t="s">
        <v>450</v>
      </c>
      <c r="E56" s="250" t="s">
        <v>273</v>
      </c>
      <c r="F56" s="141">
        <f>'Schedule 3'!F29</f>
        <v>0.13081923000000001</v>
      </c>
    </row>
    <row r="57" spans="1:6">
      <c r="A57" s="540">
        <f t="shared" si="1"/>
        <v>48</v>
      </c>
      <c r="D57" s="193" t="s">
        <v>336</v>
      </c>
      <c r="E57" s="417" t="s">
        <v>963</v>
      </c>
      <c r="F57" s="510">
        <f>(F54+F55)*F56</f>
        <v>0</v>
      </c>
    </row>
    <row r="58" spans="1:6">
      <c r="A58" s="540">
        <f t="shared" si="1"/>
        <v>49</v>
      </c>
      <c r="F58" s="267"/>
    </row>
    <row r="59" spans="1:6">
      <c r="A59" s="540">
        <f t="shared" si="1"/>
        <v>50</v>
      </c>
      <c r="D59" s="193" t="s">
        <v>377</v>
      </c>
      <c r="E59" s="417" t="s">
        <v>964</v>
      </c>
      <c r="F59" s="267">
        <f>F48+F49+F50+F53+F57</f>
        <v>5070471.5808444228</v>
      </c>
    </row>
    <row r="60" spans="1:6">
      <c r="A60" s="540">
        <f t="shared" si="1"/>
        <v>51</v>
      </c>
    </row>
    <row r="61" spans="1:6">
      <c r="A61" s="540">
        <f t="shared" si="1"/>
        <v>52</v>
      </c>
    </row>
    <row r="62" spans="1:6">
      <c r="A62" s="540">
        <f t="shared" si="1"/>
        <v>53</v>
      </c>
      <c r="B62" s="264" t="s">
        <v>444</v>
      </c>
    </row>
    <row r="63" spans="1:6">
      <c r="A63" s="540">
        <f t="shared" si="1"/>
        <v>54</v>
      </c>
      <c r="D63" s="193" t="s">
        <v>444</v>
      </c>
      <c r="E63" s="250" t="s">
        <v>1056</v>
      </c>
      <c r="F63" s="14">
        <v>6193955</v>
      </c>
    </row>
    <row r="64" spans="1:6">
      <c r="A64" s="540">
        <f t="shared" si="1"/>
        <v>55</v>
      </c>
      <c r="D64" s="193" t="s">
        <v>450</v>
      </c>
      <c r="E64" s="250" t="s">
        <v>273</v>
      </c>
      <c r="F64" s="141">
        <f>'Schedule 3'!F29</f>
        <v>0.13081923000000001</v>
      </c>
    </row>
    <row r="65" spans="1:7">
      <c r="A65" s="540">
        <f t="shared" si="1"/>
        <v>56</v>
      </c>
      <c r="D65" s="193" t="s">
        <v>421</v>
      </c>
      <c r="E65" s="417" t="s">
        <v>965</v>
      </c>
      <c r="F65" s="346">
        <f>F63*F64</f>
        <v>810288.42375465005</v>
      </c>
    </row>
    <row r="66" spans="1:7">
      <c r="A66" s="540">
        <f t="shared" si="1"/>
        <v>57</v>
      </c>
      <c r="E66" s="417"/>
      <c r="F66" s="346"/>
    </row>
    <row r="67" spans="1:7">
      <c r="A67" s="540">
        <f t="shared" si="1"/>
        <v>58</v>
      </c>
    </row>
    <row r="68" spans="1:7">
      <c r="A68" s="540">
        <f t="shared" si="1"/>
        <v>59</v>
      </c>
      <c r="B68" s="264" t="s">
        <v>171</v>
      </c>
    </row>
    <row r="69" spans="1:7">
      <c r="A69" s="540">
        <f t="shared" si="1"/>
        <v>60</v>
      </c>
      <c r="D69" s="263" t="s">
        <v>172</v>
      </c>
      <c r="E69" s="250" t="s">
        <v>1057</v>
      </c>
      <c r="F69" s="421">
        <v>25977974</v>
      </c>
    </row>
    <row r="70" spans="1:7">
      <c r="A70" s="540">
        <f t="shared" si="1"/>
        <v>61</v>
      </c>
      <c r="D70" s="193" t="s">
        <v>173</v>
      </c>
      <c r="E70" s="250" t="s">
        <v>146</v>
      </c>
      <c r="F70" s="14">
        <f>- 'Schedule 7'!G89</f>
        <v>-1186828.52</v>
      </c>
    </row>
    <row r="71" spans="1:7">
      <c r="A71" s="540">
        <f t="shared" si="1"/>
        <v>62</v>
      </c>
      <c r="D71" s="193" t="s">
        <v>174</v>
      </c>
      <c r="E71" s="250" t="s">
        <v>501</v>
      </c>
      <c r="F71" s="511">
        <f>-'Schedule 8'!G23</f>
        <v>-79588.87999999999</v>
      </c>
    </row>
    <row r="72" spans="1:7">
      <c r="A72" s="540">
        <f t="shared" si="1"/>
        <v>63</v>
      </c>
      <c r="D72" s="193" t="s">
        <v>171</v>
      </c>
      <c r="E72" s="417" t="s">
        <v>966</v>
      </c>
      <c r="F72" s="421">
        <f>SUM(F69:F71)</f>
        <v>24711556.600000001</v>
      </c>
    </row>
    <row r="73" spans="1:7">
      <c r="A73" s="540">
        <f t="shared" si="1"/>
        <v>64</v>
      </c>
      <c r="E73" s="417"/>
      <c r="F73" s="421"/>
    </row>
    <row r="74" spans="1:7">
      <c r="A74" s="540">
        <f t="shared" si="1"/>
        <v>65</v>
      </c>
    </row>
    <row r="75" spans="1:7">
      <c r="A75" s="540">
        <f t="shared" si="1"/>
        <v>66</v>
      </c>
      <c r="B75" s="264" t="s">
        <v>175</v>
      </c>
    </row>
    <row r="76" spans="1:7" ht="25.5">
      <c r="A76" s="540">
        <f t="shared" si="1"/>
        <v>67</v>
      </c>
      <c r="D76" s="262" t="s">
        <v>884</v>
      </c>
      <c r="E76" s="250" t="s">
        <v>1334</v>
      </c>
      <c r="F76" s="510">
        <v>35159222</v>
      </c>
      <c r="G76" s="508"/>
    </row>
    <row r="77" spans="1:7">
      <c r="A77" s="540">
        <f t="shared" si="1"/>
        <v>68</v>
      </c>
      <c r="D77" s="193" t="s">
        <v>158</v>
      </c>
      <c r="E77" s="250" t="s">
        <v>411</v>
      </c>
      <c r="F77" s="510">
        <f>-'Schedule 2 Workpaper page 1'!E60</f>
        <v>-210286.55333333334</v>
      </c>
    </row>
    <row r="78" spans="1:7">
      <c r="A78" s="540">
        <f>A77+1</f>
        <v>69</v>
      </c>
      <c r="D78" s="193" t="s">
        <v>159</v>
      </c>
      <c r="E78" s="250" t="s">
        <v>412</v>
      </c>
      <c r="F78" s="346">
        <f>-'Schedule 2 Workpaper page 2'!F13</f>
        <v>-96339</v>
      </c>
    </row>
    <row r="79" spans="1:7">
      <c r="A79" s="540">
        <f>A78+1</f>
        <v>70</v>
      </c>
      <c r="D79" s="193" t="s">
        <v>176</v>
      </c>
      <c r="E79" s="417" t="s">
        <v>968</v>
      </c>
      <c r="F79" s="421">
        <f>SUM(F76:F78)</f>
        <v>34852596.446666665</v>
      </c>
    </row>
    <row r="82" spans="1:7">
      <c r="A82" s="570"/>
      <c r="B82" s="570"/>
      <c r="C82" s="570"/>
      <c r="D82" s="570"/>
      <c r="E82" s="570"/>
      <c r="F82" s="570"/>
      <c r="G82" s="570"/>
    </row>
    <row r="83" spans="1:7">
      <c r="A83" s="262"/>
      <c r="B83" s="262"/>
      <c r="C83" s="262"/>
      <c r="D83" s="262"/>
      <c r="E83" s="262"/>
      <c r="F83" s="262"/>
      <c r="G83" s="262"/>
    </row>
  </sheetData>
  <sheetProtection formatCells="0"/>
  <mergeCells count="6">
    <mergeCell ref="A82:G82"/>
    <mergeCell ref="A1:G1"/>
    <mergeCell ref="A2:G2"/>
    <mergeCell ref="A3:G3"/>
    <mergeCell ref="A5:G5"/>
    <mergeCell ref="A6:G6"/>
  </mergeCells>
  <phoneticPr fontId="0" type="noConversion"/>
  <conditionalFormatting sqref="F48 F51">
    <cfRule type="cellIs" dxfId="2" priority="1" operator="lessThan">
      <formula>0</formula>
    </cfRule>
  </conditionalFormatting>
  <conditionalFormatting sqref="F77">
    <cfRule type="cellIs" dxfId="1" priority="2" operator="greaterThan">
      <formula>0</formula>
    </cfRule>
  </conditionalFormatting>
  <printOptions horizontalCentered="1"/>
  <pageMargins left="0.75" right="0.75" top="1" bottom="1" header="0.5" footer="0.5"/>
  <pageSetup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57"/>
  <sheetViews>
    <sheetView zoomScale="130" zoomScaleNormal="130" zoomScaleSheetLayoutView="100" workbookViewId="0">
      <selection sqref="A1:XFD1048576"/>
    </sheetView>
  </sheetViews>
  <sheetFormatPr defaultColWidth="9.140625" defaultRowHeight="12.75"/>
  <cols>
    <col min="1" max="1" width="4.5703125" style="540" customWidth="1"/>
    <col min="2" max="2" width="5.28515625" style="193" customWidth="1"/>
    <col min="3" max="3" width="4.7109375" style="193" customWidth="1"/>
    <col min="4" max="4" width="47.42578125" style="193" customWidth="1"/>
    <col min="5" max="5" width="66.7109375" style="193" bestFit="1" customWidth="1"/>
    <col min="6" max="6" width="18.5703125" style="193" customWidth="1"/>
    <col min="7" max="7" width="9.140625" style="193"/>
    <col min="8" max="8" width="15.85546875" style="193" bestFit="1" customWidth="1"/>
    <col min="9" max="16384" width="9.140625" style="193"/>
  </cols>
  <sheetData>
    <row r="1" spans="1:8">
      <c r="A1" s="563" t="s">
        <v>459</v>
      </c>
      <c r="B1" s="563"/>
      <c r="C1" s="563"/>
      <c r="D1" s="563"/>
      <c r="E1" s="563"/>
      <c r="F1" s="563"/>
      <c r="G1" s="563"/>
    </row>
    <row r="2" spans="1:8">
      <c r="A2" s="563" t="s">
        <v>1038</v>
      </c>
      <c r="B2" s="563"/>
      <c r="C2" s="563"/>
      <c r="D2" s="563"/>
      <c r="E2" s="563"/>
      <c r="F2" s="563"/>
      <c r="G2" s="563"/>
    </row>
    <row r="3" spans="1:8">
      <c r="A3" s="563" t="str">
        <f>'Title Page'!A10</f>
        <v>FOR THE TWELVE MONTHS ENDED DECEMBER 31, 2023</v>
      </c>
      <c r="B3" s="563"/>
      <c r="C3" s="563"/>
      <c r="D3" s="563"/>
      <c r="E3" s="563"/>
      <c r="F3" s="563"/>
      <c r="G3" s="563"/>
    </row>
    <row r="4" spans="1:8">
      <c r="B4" s="540"/>
      <c r="C4" s="540"/>
      <c r="D4" s="540"/>
      <c r="E4" s="540"/>
      <c r="F4" s="540"/>
      <c r="G4" s="540"/>
    </row>
    <row r="5" spans="1:8">
      <c r="A5" s="564" t="s">
        <v>314</v>
      </c>
      <c r="B5" s="564"/>
      <c r="C5" s="564"/>
      <c r="D5" s="564"/>
      <c r="E5" s="564"/>
      <c r="F5" s="564"/>
      <c r="G5" s="564"/>
    </row>
    <row r="6" spans="1:8">
      <c r="A6" s="564" t="s">
        <v>339</v>
      </c>
      <c r="B6" s="564"/>
      <c r="C6" s="564"/>
      <c r="D6" s="564"/>
      <c r="E6" s="564"/>
      <c r="F6" s="564"/>
      <c r="G6" s="564"/>
    </row>
    <row r="7" spans="1:8">
      <c r="A7" s="541"/>
      <c r="B7" s="541"/>
      <c r="C7" s="541"/>
      <c r="D7" s="541"/>
      <c r="E7" s="541"/>
      <c r="F7" s="541"/>
      <c r="G7" s="541"/>
    </row>
    <row r="10" spans="1:8">
      <c r="A10" s="540">
        <v>1</v>
      </c>
      <c r="B10" s="264" t="s">
        <v>147</v>
      </c>
    </row>
    <row r="11" spans="1:8">
      <c r="A11" s="540">
        <f>A10+1</f>
        <v>2</v>
      </c>
      <c r="D11" s="193" t="s">
        <v>167</v>
      </c>
      <c r="E11" s="250" t="s">
        <v>146</v>
      </c>
      <c r="F11" s="421">
        <f>-'Rate Calculation'!E10</f>
        <v>40995725.88499999</v>
      </c>
    </row>
    <row r="12" spans="1:8">
      <c r="A12" s="540">
        <f t="shared" ref="A12:A53" si="0">A11+1</f>
        <v>3</v>
      </c>
      <c r="D12" s="193" t="s">
        <v>673</v>
      </c>
      <c r="E12" s="250" t="s">
        <v>107</v>
      </c>
      <c r="F12" s="421">
        <f>'Rate Calculation'!E9</f>
        <v>1390965512.55</v>
      </c>
      <c r="H12" s="505"/>
    </row>
    <row r="13" spans="1:8">
      <c r="A13" s="540">
        <f t="shared" si="0"/>
        <v>4</v>
      </c>
      <c r="D13" s="193" t="s">
        <v>147</v>
      </c>
      <c r="E13" s="417" t="s">
        <v>521</v>
      </c>
      <c r="F13" s="141">
        <f>ROUND(F11/F12,8)</f>
        <v>2.947286E-2</v>
      </c>
      <c r="H13" s="506"/>
    </row>
    <row r="14" spans="1:8">
      <c r="A14" s="540">
        <f t="shared" si="0"/>
        <v>5</v>
      </c>
      <c r="E14" s="417"/>
      <c r="F14" s="41"/>
    </row>
    <row r="15" spans="1:8">
      <c r="A15" s="540">
        <f t="shared" si="0"/>
        <v>6</v>
      </c>
      <c r="E15" s="417"/>
      <c r="F15" s="41"/>
    </row>
    <row r="16" spans="1:8">
      <c r="A16" s="540">
        <f t="shared" si="0"/>
        <v>7</v>
      </c>
      <c r="B16" s="264" t="s">
        <v>182</v>
      </c>
    </row>
    <row r="17" spans="1:8">
      <c r="A17" s="540">
        <f t="shared" si="0"/>
        <v>8</v>
      </c>
      <c r="D17" s="193" t="s">
        <v>183</v>
      </c>
      <c r="E17" s="250" t="s">
        <v>501</v>
      </c>
      <c r="F17" s="421">
        <f>'Schedule 8'!E23</f>
        <v>3811357.12</v>
      </c>
    </row>
    <row r="18" spans="1:8">
      <c r="A18" s="540">
        <f t="shared" si="0"/>
        <v>9</v>
      </c>
      <c r="D18" s="193" t="s">
        <v>673</v>
      </c>
      <c r="E18" s="250" t="s">
        <v>107</v>
      </c>
      <c r="F18" s="421">
        <f>'Rate Calculation'!E9</f>
        <v>1390965512.55</v>
      </c>
    </row>
    <row r="19" spans="1:8">
      <c r="A19" s="540">
        <f t="shared" si="0"/>
        <v>10</v>
      </c>
      <c r="D19" s="193" t="s">
        <v>182</v>
      </c>
      <c r="E19" s="417" t="s">
        <v>522</v>
      </c>
      <c r="F19" s="141">
        <f>ROUND(F17/F18,8)</f>
        <v>2.7400800000000002E-3</v>
      </c>
    </row>
    <row r="20" spans="1:8">
      <c r="A20" s="540">
        <f t="shared" si="0"/>
        <v>11</v>
      </c>
      <c r="E20" s="250"/>
      <c r="F20" s="42"/>
    </row>
    <row r="21" spans="1:8">
      <c r="A21" s="540">
        <f t="shared" si="0"/>
        <v>12</v>
      </c>
      <c r="E21" s="417"/>
      <c r="F21" s="41"/>
    </row>
    <row r="22" spans="1:8">
      <c r="A22" s="540">
        <f t="shared" si="0"/>
        <v>13</v>
      </c>
      <c r="B22" s="264" t="s">
        <v>233</v>
      </c>
    </row>
    <row r="23" spans="1:8">
      <c r="A23" s="540">
        <f t="shared" si="0"/>
        <v>14</v>
      </c>
      <c r="D23" s="193" t="s">
        <v>340</v>
      </c>
      <c r="E23" s="250" t="s">
        <v>1059</v>
      </c>
      <c r="F23" s="30">
        <v>11751561</v>
      </c>
    </row>
    <row r="24" spans="1:8">
      <c r="A24" s="540">
        <f t="shared" si="0"/>
        <v>15</v>
      </c>
      <c r="D24" s="193" t="s">
        <v>184</v>
      </c>
      <c r="E24" s="417" t="s">
        <v>251</v>
      </c>
      <c r="F24" s="346">
        <f>-(F13*F23)</f>
        <v>-346352.11213446001</v>
      </c>
    </row>
    <row r="25" spans="1:8">
      <c r="A25" s="540">
        <f t="shared" si="0"/>
        <v>16</v>
      </c>
      <c r="D25" s="193" t="s">
        <v>185</v>
      </c>
      <c r="E25" s="417" t="s">
        <v>252</v>
      </c>
      <c r="F25" s="346">
        <f>-(F23*F19)</f>
        <v>-32200.217264880004</v>
      </c>
    </row>
    <row r="26" spans="1:8">
      <c r="A26" s="540">
        <f t="shared" si="0"/>
        <v>17</v>
      </c>
      <c r="D26" s="193" t="s">
        <v>186</v>
      </c>
      <c r="E26" s="417" t="s">
        <v>253</v>
      </c>
      <c r="F26" s="30">
        <f>SUM(F23:F25)</f>
        <v>11373008.67060066</v>
      </c>
    </row>
    <row r="27" spans="1:8">
      <c r="A27" s="540">
        <f t="shared" si="0"/>
        <v>18</v>
      </c>
      <c r="D27" s="193" t="s">
        <v>341</v>
      </c>
      <c r="E27" s="250" t="s">
        <v>1060</v>
      </c>
      <c r="F27" s="30">
        <v>91306764</v>
      </c>
    </row>
    <row r="28" spans="1:8">
      <c r="A28" s="540">
        <f t="shared" si="0"/>
        <v>19</v>
      </c>
      <c r="D28" s="193" t="s">
        <v>342</v>
      </c>
      <c r="E28" s="250" t="s">
        <v>1061</v>
      </c>
      <c r="F28" s="30">
        <v>178243593</v>
      </c>
    </row>
    <row r="29" spans="1:8">
      <c r="A29" s="540">
        <f t="shared" si="0"/>
        <v>20</v>
      </c>
      <c r="D29" s="193" t="s">
        <v>450</v>
      </c>
      <c r="E29" s="417" t="s">
        <v>674</v>
      </c>
      <c r="F29" s="141">
        <f>ROUND(F26/(F28-F27),8)</f>
        <v>0.13081923000000001</v>
      </c>
      <c r="H29" s="346"/>
    </row>
    <row r="30" spans="1:8">
      <c r="A30" s="540">
        <f t="shared" si="0"/>
        <v>21</v>
      </c>
      <c r="E30" s="417"/>
      <c r="F30" s="41"/>
    </row>
    <row r="31" spans="1:8">
      <c r="A31" s="540">
        <f t="shared" si="0"/>
        <v>22</v>
      </c>
      <c r="E31" s="417"/>
      <c r="F31" s="41"/>
    </row>
    <row r="32" spans="1:8">
      <c r="A32" s="540">
        <f t="shared" si="0"/>
        <v>23</v>
      </c>
      <c r="B32" s="264" t="s">
        <v>449</v>
      </c>
    </row>
    <row r="33" spans="1:6">
      <c r="A33" s="540">
        <f t="shared" si="0"/>
        <v>24</v>
      </c>
      <c r="D33" s="193" t="s">
        <v>673</v>
      </c>
      <c r="E33" s="250" t="s">
        <v>107</v>
      </c>
      <c r="F33" s="30">
        <f>'Rate Calculation'!E9</f>
        <v>1390965512.55</v>
      </c>
    </row>
    <row r="34" spans="1:6">
      <c r="A34" s="540">
        <f t="shared" si="0"/>
        <v>25</v>
      </c>
      <c r="D34" s="193" t="s">
        <v>166</v>
      </c>
      <c r="E34" s="250" t="s">
        <v>146</v>
      </c>
      <c r="F34" s="30">
        <f>-'Schedule 7'!E89</f>
        <v>-40995725.88499999</v>
      </c>
    </row>
    <row r="35" spans="1:6">
      <c r="A35" s="540">
        <f t="shared" si="0"/>
        <v>26</v>
      </c>
      <c r="D35" s="193" t="s">
        <v>187</v>
      </c>
      <c r="E35" s="250" t="s">
        <v>501</v>
      </c>
      <c r="F35" s="30">
        <f>-('Schedule 8'!E23)</f>
        <v>-3811357.12</v>
      </c>
    </row>
    <row r="36" spans="1:6">
      <c r="A36" s="540">
        <f t="shared" si="0"/>
        <v>27</v>
      </c>
      <c r="D36" s="193" t="s">
        <v>160</v>
      </c>
      <c r="E36" s="417" t="s">
        <v>254</v>
      </c>
      <c r="F36" s="30">
        <f>SUM(F33:F35)</f>
        <v>1346158429.5450001</v>
      </c>
    </row>
    <row r="37" spans="1:6">
      <c r="A37" s="540">
        <f t="shared" si="0"/>
        <v>28</v>
      </c>
      <c r="D37" s="193" t="s">
        <v>369</v>
      </c>
      <c r="E37" s="507">
        <v>-49</v>
      </c>
      <c r="F37" s="30">
        <f>F51</f>
        <v>85309051.48303923</v>
      </c>
    </row>
    <row r="38" spans="1:6">
      <c r="A38" s="540">
        <f t="shared" si="0"/>
        <v>29</v>
      </c>
      <c r="D38" s="193" t="s">
        <v>675</v>
      </c>
      <c r="E38" s="250" t="s">
        <v>1058</v>
      </c>
      <c r="F38" s="30">
        <f>7293443644-39919736-0-0-0-0-0-0-0</f>
        <v>7253523908</v>
      </c>
    </row>
    <row r="39" spans="1:6">
      <c r="A39" s="540">
        <f t="shared" si="0"/>
        <v>30</v>
      </c>
      <c r="D39" s="193" t="s">
        <v>449</v>
      </c>
      <c r="E39" s="417" t="s">
        <v>120</v>
      </c>
      <c r="F39" s="141">
        <f>ROUND((F36+F37)/F38,8)</f>
        <v>0.19734787000000001</v>
      </c>
    </row>
    <row r="40" spans="1:6">
      <c r="A40" s="540">
        <f t="shared" si="0"/>
        <v>31</v>
      </c>
    </row>
    <row r="41" spans="1:6">
      <c r="A41" s="540">
        <f t="shared" si="0"/>
        <v>32</v>
      </c>
    </row>
    <row r="42" spans="1:6">
      <c r="A42" s="540">
        <f t="shared" si="0"/>
        <v>33</v>
      </c>
      <c r="B42" s="264" t="s">
        <v>272</v>
      </c>
    </row>
    <row r="43" spans="1:6">
      <c r="A43" s="540">
        <f t="shared" si="0"/>
        <v>34</v>
      </c>
      <c r="D43" s="193" t="s">
        <v>161</v>
      </c>
      <c r="E43" s="250" t="s">
        <v>188</v>
      </c>
      <c r="F43" s="30">
        <f>F36</f>
        <v>1346158429.5450001</v>
      </c>
    </row>
    <row r="44" spans="1:6">
      <c r="A44" s="540">
        <f t="shared" si="0"/>
        <v>35</v>
      </c>
      <c r="D44" s="193" t="s">
        <v>675</v>
      </c>
      <c r="E44" s="507">
        <v>-34</v>
      </c>
      <c r="F44" s="30">
        <f>F38</f>
        <v>7253523908</v>
      </c>
    </row>
    <row r="45" spans="1:6">
      <c r="A45" s="540">
        <f t="shared" si="0"/>
        <v>36</v>
      </c>
      <c r="D45" s="193" t="s">
        <v>272</v>
      </c>
      <c r="E45" s="417" t="s">
        <v>121</v>
      </c>
      <c r="F45" s="141">
        <f>ROUND(F43/F44,8)</f>
        <v>0.18558682000000001</v>
      </c>
    </row>
    <row r="46" spans="1:6">
      <c r="A46" s="540">
        <f t="shared" si="0"/>
        <v>37</v>
      </c>
    </row>
    <row r="47" spans="1:6">
      <c r="A47" s="540">
        <f t="shared" si="0"/>
        <v>38</v>
      </c>
    </row>
    <row r="48" spans="1:6">
      <c r="A48" s="540">
        <f t="shared" si="0"/>
        <v>39</v>
      </c>
      <c r="B48" s="264" t="s">
        <v>343</v>
      </c>
    </row>
    <row r="49" spans="1:6">
      <c r="A49" s="540">
        <f t="shared" si="0"/>
        <v>40</v>
      </c>
      <c r="D49" s="193" t="s">
        <v>370</v>
      </c>
      <c r="E49" s="250" t="s">
        <v>196</v>
      </c>
      <c r="F49" s="14">
        <f>'Schedule 1'!F23</f>
        <v>70189597.783073977</v>
      </c>
    </row>
    <row r="50" spans="1:6">
      <c r="A50" s="540">
        <f t="shared" si="0"/>
        <v>41</v>
      </c>
      <c r="D50" s="193" t="s">
        <v>371</v>
      </c>
      <c r="E50" s="250" t="s">
        <v>196</v>
      </c>
      <c r="F50" s="14">
        <f>'Schedule 1'!F35</f>
        <v>15119453.699965261</v>
      </c>
    </row>
    <row r="51" spans="1:6">
      <c r="A51" s="540">
        <f t="shared" si="0"/>
        <v>42</v>
      </c>
      <c r="D51" s="193" t="s">
        <v>372</v>
      </c>
      <c r="E51" s="417" t="s">
        <v>255</v>
      </c>
      <c r="F51" s="14">
        <f>SUM(F49:F50)</f>
        <v>85309051.48303923</v>
      </c>
    </row>
    <row r="52" spans="1:6">
      <c r="A52" s="540">
        <f t="shared" si="0"/>
        <v>43</v>
      </c>
      <c r="D52" s="193" t="s">
        <v>675</v>
      </c>
      <c r="E52" s="507">
        <v>-34</v>
      </c>
      <c r="F52" s="30">
        <f>F38</f>
        <v>7253523908</v>
      </c>
    </row>
    <row r="53" spans="1:6">
      <c r="A53" s="540">
        <f t="shared" si="0"/>
        <v>44</v>
      </c>
      <c r="D53" s="193" t="s">
        <v>365</v>
      </c>
      <c r="E53" s="417" t="s">
        <v>122</v>
      </c>
      <c r="F53" s="141">
        <f>ROUND(F51/F52,8)</f>
        <v>1.176105E-2</v>
      </c>
    </row>
    <row r="57" spans="1:6">
      <c r="D57" s="421"/>
    </row>
  </sheetData>
  <sheetProtection formatCells="0"/>
  <mergeCells count="5">
    <mergeCell ref="A1:G1"/>
    <mergeCell ref="A2:G2"/>
    <mergeCell ref="A3:G3"/>
    <mergeCell ref="A5:G5"/>
    <mergeCell ref="A6:G6"/>
  </mergeCells>
  <phoneticPr fontId="0" type="noConversion"/>
  <printOptions horizontalCentered="1"/>
  <pageMargins left="0.75" right="0.75" top="1" bottom="1" header="0.5" footer="0.5"/>
  <pageSetup scale="5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47"/>
  <sheetViews>
    <sheetView zoomScaleNormal="100" zoomScaleSheetLayoutView="100" workbookViewId="0">
      <selection sqref="A1:XFD1048576"/>
    </sheetView>
  </sheetViews>
  <sheetFormatPr defaultColWidth="9.140625" defaultRowHeight="12.75"/>
  <cols>
    <col min="1" max="1" width="3.140625" style="193" customWidth="1"/>
    <col min="2" max="2" width="2.140625" style="193" customWidth="1"/>
    <col min="3" max="3" width="44.28515625" style="193" customWidth="1"/>
    <col min="4" max="4" width="37.7109375" style="14" customWidth="1"/>
    <col min="5" max="5" width="15.85546875" style="193" customWidth="1"/>
    <col min="6" max="16384" width="9.140625" style="193"/>
  </cols>
  <sheetData>
    <row r="1" spans="1:6">
      <c r="A1" s="563" t="s">
        <v>459</v>
      </c>
      <c r="B1" s="563"/>
      <c r="C1" s="563"/>
      <c r="D1" s="563"/>
      <c r="E1" s="563"/>
      <c r="F1" s="563"/>
    </row>
    <row r="2" spans="1:6">
      <c r="A2" s="563" t="s">
        <v>1038</v>
      </c>
      <c r="B2" s="563"/>
      <c r="C2" s="563"/>
      <c r="D2" s="563"/>
      <c r="E2" s="563"/>
      <c r="F2" s="563"/>
    </row>
    <row r="3" spans="1:6">
      <c r="A3" s="563" t="str">
        <f>'Title Page'!A10</f>
        <v>FOR THE TWELVE MONTHS ENDED DECEMBER 31, 2023</v>
      </c>
      <c r="B3" s="563"/>
      <c r="C3" s="563"/>
      <c r="D3" s="563"/>
      <c r="E3" s="563"/>
      <c r="F3" s="563"/>
    </row>
    <row r="4" spans="1:6">
      <c r="A4" s="540"/>
      <c r="B4" s="540"/>
      <c r="C4" s="540"/>
      <c r="D4" s="540"/>
      <c r="E4" s="540"/>
      <c r="F4" s="540"/>
    </row>
    <row r="5" spans="1:6">
      <c r="A5" s="564" t="s">
        <v>315</v>
      </c>
      <c r="B5" s="564"/>
      <c r="C5" s="564"/>
      <c r="D5" s="564"/>
      <c r="E5" s="564"/>
      <c r="F5" s="564"/>
    </row>
    <row r="6" spans="1:6">
      <c r="A6" s="564" t="s">
        <v>260</v>
      </c>
      <c r="B6" s="564"/>
      <c r="C6" s="564"/>
      <c r="D6" s="564"/>
      <c r="E6" s="564"/>
      <c r="F6" s="564"/>
    </row>
    <row r="7" spans="1:6">
      <c r="A7" s="564"/>
      <c r="B7" s="564"/>
      <c r="C7" s="564"/>
      <c r="D7" s="564"/>
      <c r="E7" s="564"/>
    </row>
    <row r="10" spans="1:6">
      <c r="A10" s="540">
        <v>1</v>
      </c>
      <c r="B10" s="264"/>
      <c r="C10" s="264" t="s">
        <v>406</v>
      </c>
    </row>
    <row r="11" spans="1:6">
      <c r="A11" s="540">
        <f>A10+1</f>
        <v>2</v>
      </c>
      <c r="B11" s="264"/>
      <c r="C11" s="193" t="s">
        <v>1063</v>
      </c>
    </row>
    <row r="12" spans="1:6">
      <c r="A12" s="540">
        <f>A11+1</f>
        <v>3</v>
      </c>
      <c r="B12" s="264"/>
      <c r="C12" s="193" t="s">
        <v>148</v>
      </c>
      <c r="D12" s="39" t="s">
        <v>564</v>
      </c>
      <c r="E12" s="91">
        <f>'Schedule 4 Workpaper page 1'!F15</f>
        <v>334531.44</v>
      </c>
    </row>
    <row r="13" spans="1:6">
      <c r="A13" s="540">
        <f>A12+1</f>
        <v>4</v>
      </c>
      <c r="B13" s="264"/>
      <c r="C13" s="193" t="s">
        <v>180</v>
      </c>
      <c r="D13" s="39" t="s">
        <v>564</v>
      </c>
      <c r="E13" s="438">
        <f>'Schedule 4 Workpaper page 1'!F14</f>
        <v>50609.211889258295</v>
      </c>
    </row>
    <row r="14" spans="1:6">
      <c r="A14" s="540">
        <f>A13+1</f>
        <v>5</v>
      </c>
      <c r="B14" s="264"/>
      <c r="C14" s="193" t="s">
        <v>191</v>
      </c>
      <c r="D14" s="39" t="s">
        <v>564</v>
      </c>
      <c r="E14" s="92">
        <f>'Schedule 4 Workpaper page 1'!F16</f>
        <v>734485.77999999991</v>
      </c>
    </row>
    <row r="15" spans="1:6">
      <c r="A15" s="540">
        <f>A14+1</f>
        <v>6</v>
      </c>
      <c r="B15" s="264"/>
      <c r="C15" s="193" t="s">
        <v>1012</v>
      </c>
      <c r="D15" s="39" t="s">
        <v>564</v>
      </c>
      <c r="E15" s="92">
        <f>'Schedule 4 Workpaper page 1'!F30</f>
        <v>87269.96</v>
      </c>
    </row>
    <row r="16" spans="1:6">
      <c r="A16" s="540">
        <f t="shared" ref="A16:A27" si="0">A15+1</f>
        <v>7</v>
      </c>
      <c r="B16" s="264"/>
      <c r="C16" s="193" t="s">
        <v>796</v>
      </c>
      <c r="D16" s="39" t="s">
        <v>564</v>
      </c>
      <c r="E16" s="153">
        <f>'Schedule 4 Workpaper page 1'!F31</f>
        <v>3185508</v>
      </c>
    </row>
    <row r="17" spans="1:6">
      <c r="A17" s="540">
        <f t="shared" si="0"/>
        <v>8</v>
      </c>
      <c r="B17" s="264"/>
      <c r="C17" s="263" t="s">
        <v>156</v>
      </c>
      <c r="D17" s="39"/>
      <c r="E17" s="301">
        <f>SUM(E12:E16)</f>
        <v>4392404.3918892583</v>
      </c>
    </row>
    <row r="18" spans="1:6">
      <c r="A18" s="540">
        <f t="shared" si="0"/>
        <v>9</v>
      </c>
      <c r="B18" s="264"/>
      <c r="C18" s="263"/>
      <c r="D18" s="39"/>
      <c r="E18" s="301"/>
    </row>
    <row r="19" spans="1:6">
      <c r="A19" s="540">
        <f t="shared" si="0"/>
        <v>10</v>
      </c>
      <c r="B19" s="264"/>
      <c r="D19" s="39"/>
      <c r="E19" s="438"/>
    </row>
    <row r="20" spans="1:6">
      <c r="A20" s="540">
        <f t="shared" si="0"/>
        <v>11</v>
      </c>
      <c r="B20" s="264"/>
      <c r="C20" s="264" t="s">
        <v>1100</v>
      </c>
      <c r="D20" s="39"/>
      <c r="E20" s="85"/>
    </row>
    <row r="21" spans="1:6">
      <c r="A21" s="540">
        <f t="shared" si="0"/>
        <v>12</v>
      </c>
      <c r="B21" s="264"/>
      <c r="C21" s="394" t="s">
        <v>148</v>
      </c>
      <c r="D21" s="93" t="s">
        <v>1</v>
      </c>
      <c r="E21" s="94">
        <f>'Schedule 4 Workpaper page 5'!G15</f>
        <v>27504.293002079467</v>
      </c>
    </row>
    <row r="22" spans="1:6">
      <c r="A22" s="540">
        <f t="shared" si="0"/>
        <v>13</v>
      </c>
      <c r="B22" s="264"/>
      <c r="C22" s="394" t="s">
        <v>303</v>
      </c>
      <c r="D22" s="93" t="s">
        <v>1148</v>
      </c>
      <c r="E22" s="92">
        <f>15831*0.35</f>
        <v>5540.8499999999995</v>
      </c>
    </row>
    <row r="23" spans="1:6">
      <c r="A23" s="540">
        <f t="shared" si="0"/>
        <v>14</v>
      </c>
      <c r="B23" s="264"/>
      <c r="C23" s="394" t="s">
        <v>1064</v>
      </c>
      <c r="D23" s="93" t="s">
        <v>708</v>
      </c>
      <c r="E23" s="153">
        <f>'Schedule 4 Workpaper page 6'!J72</f>
        <v>21362741.469999995</v>
      </c>
      <c r="F23" s="274">
        <v>-1</v>
      </c>
    </row>
    <row r="24" spans="1:6">
      <c r="A24" s="540">
        <f t="shared" si="0"/>
        <v>15</v>
      </c>
      <c r="B24" s="264"/>
      <c r="C24" s="263" t="s">
        <v>156</v>
      </c>
      <c r="D24" s="95"/>
      <c r="E24" s="94">
        <f>SUM(E21:E23)</f>
        <v>21395786.613002073</v>
      </c>
    </row>
    <row r="25" spans="1:6">
      <c r="A25" s="540">
        <f t="shared" si="0"/>
        <v>16</v>
      </c>
      <c r="B25" s="264"/>
      <c r="C25" s="263"/>
      <c r="D25" s="95"/>
      <c r="E25" s="92"/>
    </row>
    <row r="26" spans="1:6">
      <c r="A26" s="540">
        <f t="shared" si="0"/>
        <v>17</v>
      </c>
      <c r="D26" s="193"/>
      <c r="E26" s="438"/>
    </row>
    <row r="27" spans="1:6">
      <c r="A27" s="540">
        <f t="shared" si="0"/>
        <v>18</v>
      </c>
      <c r="B27" s="264"/>
      <c r="C27" s="482" t="s">
        <v>345</v>
      </c>
      <c r="E27" s="94">
        <f>E17+E24</f>
        <v>25788191.004891332</v>
      </c>
    </row>
    <row r="28" spans="1:6">
      <c r="A28" s="540"/>
      <c r="B28" s="264"/>
      <c r="C28" s="250"/>
      <c r="E28" s="95"/>
    </row>
    <row r="29" spans="1:6">
      <c r="A29" s="540"/>
      <c r="B29" s="264"/>
    </row>
    <row r="30" spans="1:6">
      <c r="B30" s="264"/>
    </row>
    <row r="31" spans="1:6">
      <c r="B31" s="264"/>
    </row>
    <row r="33" spans="3:3">
      <c r="C33" s="193" t="s">
        <v>1062</v>
      </c>
    </row>
    <row r="34" spans="3:3">
      <c r="C34" s="193" t="s">
        <v>710</v>
      </c>
    </row>
    <row r="39" spans="3:3" ht="15" customHeight="1"/>
    <row r="47" spans="3:3" ht="15" customHeight="1"/>
  </sheetData>
  <sheetProtection formatCells="0"/>
  <mergeCells count="6">
    <mergeCell ref="A7:E7"/>
    <mergeCell ref="A1:F1"/>
    <mergeCell ref="A2:F2"/>
    <mergeCell ref="A3:F3"/>
    <mergeCell ref="A5:F5"/>
    <mergeCell ref="A6:F6"/>
  </mergeCells>
  <phoneticPr fontId="0" type="noConversion"/>
  <printOptions horizontalCentered="1"/>
  <pageMargins left="0.75" right="0.75" top="1" bottom="1" header="0.5" footer="0.5"/>
  <pageSetup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73"/>
  <sheetViews>
    <sheetView topLeftCell="A16" zoomScale="120" zoomScaleNormal="120" zoomScaleSheetLayoutView="100" zoomScalePageLayoutView="75" workbookViewId="0">
      <selection activeCell="C24" sqref="C24"/>
    </sheetView>
  </sheetViews>
  <sheetFormatPr defaultColWidth="9.140625" defaultRowHeight="12.75"/>
  <cols>
    <col min="1" max="1" width="15.85546875" style="250" customWidth="1"/>
    <col min="2" max="2" width="14.5703125" style="540" customWidth="1"/>
    <col min="3" max="3" width="13.5703125" style="540" customWidth="1"/>
    <col min="4" max="4" width="15.85546875" style="540" bestFit="1" customWidth="1"/>
    <col min="5" max="5" width="13.5703125" style="540" customWidth="1"/>
    <col min="6" max="9" width="13.5703125" style="193" customWidth="1"/>
    <col min="10" max="16" width="13.5703125" style="540" customWidth="1"/>
    <col min="17" max="21" width="11.85546875" style="193" customWidth="1"/>
    <col min="22" max="16384" width="9.140625" style="193"/>
  </cols>
  <sheetData>
    <row r="1" spans="1:24">
      <c r="A1" s="563" t="s">
        <v>459</v>
      </c>
      <c r="B1" s="563"/>
      <c r="C1" s="563"/>
      <c r="D1" s="563"/>
      <c r="E1" s="563"/>
      <c r="F1" s="563"/>
      <c r="G1" s="563"/>
      <c r="H1" s="563"/>
      <c r="I1" s="563"/>
      <c r="J1" s="563"/>
      <c r="K1" s="563"/>
      <c r="L1" s="563"/>
      <c r="M1" s="563"/>
      <c r="N1" s="563"/>
      <c r="O1" s="563"/>
      <c r="P1" s="563"/>
      <c r="Q1" s="563"/>
      <c r="R1" s="563"/>
    </row>
    <row r="2" spans="1:24">
      <c r="A2" s="563" t="s">
        <v>1038</v>
      </c>
      <c r="B2" s="563"/>
      <c r="C2" s="563"/>
      <c r="D2" s="563"/>
      <c r="E2" s="563"/>
      <c r="F2" s="563"/>
      <c r="G2" s="563"/>
      <c r="H2" s="563"/>
      <c r="I2" s="563"/>
      <c r="J2" s="563"/>
      <c r="K2" s="563"/>
      <c r="L2" s="563"/>
      <c r="M2" s="563"/>
      <c r="N2" s="563"/>
      <c r="O2" s="563"/>
      <c r="P2" s="563"/>
      <c r="Q2" s="563"/>
      <c r="R2" s="563"/>
    </row>
    <row r="3" spans="1:24">
      <c r="A3" s="563" t="str">
        <f>'Title Page'!A10</f>
        <v>FOR THE TWELVE MONTHS ENDED DECEMBER 31, 2023</v>
      </c>
      <c r="B3" s="563"/>
      <c r="C3" s="563"/>
      <c r="D3" s="563"/>
      <c r="E3" s="563"/>
      <c r="F3" s="563"/>
      <c r="G3" s="563"/>
      <c r="H3" s="563"/>
      <c r="I3" s="563"/>
      <c r="J3" s="563"/>
      <c r="K3" s="563"/>
      <c r="L3" s="563"/>
      <c r="M3" s="563"/>
      <c r="N3" s="563"/>
      <c r="O3" s="563"/>
      <c r="P3" s="563"/>
      <c r="Q3" s="563"/>
      <c r="R3" s="563"/>
    </row>
    <row r="5" spans="1:24">
      <c r="A5" s="564" t="s">
        <v>157</v>
      </c>
      <c r="B5" s="564"/>
      <c r="C5" s="564"/>
      <c r="D5" s="564"/>
      <c r="E5" s="564"/>
      <c r="F5" s="564"/>
      <c r="G5" s="564"/>
      <c r="H5" s="564"/>
      <c r="I5" s="564"/>
      <c r="J5" s="564"/>
      <c r="K5" s="564"/>
      <c r="L5" s="564"/>
      <c r="M5" s="564"/>
      <c r="N5" s="564"/>
      <c r="O5" s="564"/>
      <c r="P5" s="564"/>
      <c r="Q5" s="564"/>
      <c r="R5" s="564"/>
      <c r="S5" s="264"/>
      <c r="T5" s="264"/>
      <c r="U5" s="264"/>
    </row>
    <row r="6" spans="1:24" s="264" customFormat="1">
      <c r="A6" s="564" t="s">
        <v>831</v>
      </c>
      <c r="B6" s="564"/>
      <c r="C6" s="564"/>
      <c r="D6" s="564"/>
      <c r="E6" s="564"/>
      <c r="F6" s="564"/>
      <c r="G6" s="564"/>
      <c r="H6" s="564"/>
      <c r="I6" s="564"/>
      <c r="J6" s="564"/>
      <c r="K6" s="564"/>
      <c r="L6" s="564"/>
      <c r="M6" s="564"/>
      <c r="N6" s="564"/>
      <c r="O6" s="564"/>
      <c r="P6" s="564"/>
      <c r="Q6" s="564"/>
      <c r="R6" s="564"/>
    </row>
    <row r="7" spans="1:24">
      <c r="A7" s="264"/>
      <c r="B7" s="264"/>
      <c r="C7" s="264"/>
      <c r="D7" s="264"/>
      <c r="E7" s="264"/>
      <c r="F7" s="264"/>
      <c r="G7" s="264"/>
      <c r="H7" s="264"/>
      <c r="I7" s="264"/>
      <c r="J7" s="264"/>
      <c r="K7" s="264"/>
      <c r="L7" s="264"/>
      <c r="M7" s="264"/>
      <c r="N7" s="264"/>
      <c r="O7" s="264"/>
      <c r="P7" s="264"/>
      <c r="Q7" s="264"/>
      <c r="R7" s="264"/>
      <c r="S7" s="264"/>
      <c r="T7" s="264"/>
      <c r="U7" s="264"/>
    </row>
    <row r="8" spans="1:24">
      <c r="B8" s="483"/>
      <c r="C8" s="483"/>
      <c r="D8" s="483"/>
      <c r="E8" s="483"/>
      <c r="F8" s="483"/>
      <c r="G8" s="483"/>
      <c r="H8" s="483"/>
      <c r="I8" s="483"/>
      <c r="Q8" s="540"/>
      <c r="R8" s="540"/>
      <c r="S8" s="540"/>
      <c r="T8" s="264"/>
      <c r="U8" s="264"/>
    </row>
    <row r="9" spans="1:24">
      <c r="A9" s="484"/>
      <c r="B9" s="485"/>
      <c r="C9" s="485"/>
      <c r="D9" s="485"/>
      <c r="E9" s="485"/>
      <c r="F9" s="485"/>
      <c r="G9" s="485"/>
      <c r="H9" s="483"/>
      <c r="I9" s="483"/>
      <c r="Q9" s="540"/>
      <c r="R9" s="540"/>
      <c r="S9" s="540"/>
      <c r="T9" s="264"/>
      <c r="U9" s="264"/>
    </row>
    <row r="10" spans="1:24">
      <c r="A10" s="486"/>
      <c r="B10" s="544" t="s">
        <v>397</v>
      </c>
      <c r="C10" s="544" t="s">
        <v>398</v>
      </c>
      <c r="D10" s="544" t="s">
        <v>569</v>
      </c>
      <c r="E10" s="544" t="s">
        <v>570</v>
      </c>
      <c r="F10" s="544" t="s">
        <v>690</v>
      </c>
      <c r="G10" s="545" t="s">
        <v>691</v>
      </c>
      <c r="H10" s="540"/>
      <c r="I10" s="540"/>
      <c r="Q10" s="540"/>
      <c r="R10" s="540"/>
      <c r="S10" s="540"/>
      <c r="T10" s="264"/>
      <c r="U10" s="264"/>
    </row>
    <row r="11" spans="1:24">
      <c r="A11" s="251"/>
      <c r="C11" s="540" t="s">
        <v>394</v>
      </c>
      <c r="G11" s="260"/>
      <c r="T11" s="264"/>
      <c r="U11" s="264"/>
    </row>
    <row r="12" spans="1:24">
      <c r="A12" s="251"/>
      <c r="B12" s="540" t="s">
        <v>394</v>
      </c>
      <c r="C12" s="540" t="s">
        <v>395</v>
      </c>
      <c r="D12" s="540" t="s">
        <v>984</v>
      </c>
      <c r="F12" s="540"/>
      <c r="G12" s="260"/>
      <c r="H12" s="540"/>
      <c r="I12" s="540"/>
      <c r="Q12" s="540"/>
      <c r="R12" s="540"/>
      <c r="S12" s="540"/>
      <c r="T12" s="264"/>
      <c r="U12" s="264"/>
    </row>
    <row r="13" spans="1:24">
      <c r="A13" s="251"/>
      <c r="B13" s="539" t="s">
        <v>707</v>
      </c>
      <c r="C13" s="539" t="s">
        <v>396</v>
      </c>
      <c r="D13" s="539" t="s">
        <v>983</v>
      </c>
      <c r="E13" s="539" t="s">
        <v>381</v>
      </c>
      <c r="F13" s="539" t="s">
        <v>289</v>
      </c>
      <c r="G13" s="253" t="s">
        <v>381</v>
      </c>
      <c r="I13" s="539"/>
      <c r="J13" s="539"/>
      <c r="K13" s="539"/>
      <c r="L13" s="539"/>
      <c r="M13" s="539"/>
      <c r="N13" s="539"/>
      <c r="O13" s="539"/>
      <c r="P13" s="539"/>
      <c r="Q13" s="539"/>
      <c r="R13" s="539"/>
      <c r="S13" s="539"/>
      <c r="T13" s="264"/>
      <c r="U13" s="264"/>
    </row>
    <row r="14" spans="1:24" s="394" customFormat="1">
      <c r="A14" s="487"/>
      <c r="B14" s="488" t="s">
        <v>692</v>
      </c>
      <c r="C14" s="488" t="s">
        <v>693</v>
      </c>
      <c r="D14" s="488" t="s">
        <v>2</v>
      </c>
      <c r="E14" s="488" t="s">
        <v>927</v>
      </c>
      <c r="F14" s="425"/>
      <c r="G14" s="489"/>
      <c r="I14" s="488"/>
      <c r="J14" s="490"/>
      <c r="K14" s="490"/>
      <c r="L14" s="490"/>
      <c r="M14" s="490"/>
      <c r="N14" s="490"/>
      <c r="O14" s="490"/>
      <c r="P14" s="490"/>
      <c r="Q14" s="490"/>
      <c r="R14" s="490"/>
      <c r="S14" s="262"/>
      <c r="T14" s="262"/>
      <c r="U14" s="262"/>
      <c r="V14" s="262"/>
      <c r="W14" s="262"/>
      <c r="X14" s="262"/>
    </row>
    <row r="15" spans="1:24">
      <c r="A15" s="251" t="s">
        <v>382</v>
      </c>
      <c r="B15" s="254">
        <f>E15-C15-D15</f>
        <v>2365</v>
      </c>
      <c r="C15" s="254">
        <f>'Schedule 5 Workpaper '!C14</f>
        <v>270</v>
      </c>
      <c r="D15" s="254">
        <f t="shared" ref="D15:D26" si="0">Q57</f>
        <v>1177</v>
      </c>
      <c r="E15" s="254">
        <f>'Schedule 5 Workpaper '!F14</f>
        <v>3812</v>
      </c>
      <c r="F15" s="540">
        <v>330</v>
      </c>
      <c r="G15" s="256">
        <f t="shared" ref="G15:G26" si="1">SUM(E15:F15)</f>
        <v>4142</v>
      </c>
      <c r="I15" s="254"/>
      <c r="J15" s="254"/>
      <c r="K15" s="254"/>
      <c r="L15" s="254"/>
      <c r="M15" s="254"/>
      <c r="N15" s="254"/>
      <c r="O15" s="254"/>
      <c r="P15" s="254"/>
      <c r="Q15" s="491"/>
      <c r="R15" s="540"/>
      <c r="S15" s="540"/>
      <c r="T15" s="264"/>
      <c r="U15" s="264"/>
    </row>
    <row r="16" spans="1:24">
      <c r="A16" s="251" t="s">
        <v>383</v>
      </c>
      <c r="B16" s="254">
        <f t="shared" ref="B16:B26" si="2">E16-C16-D16</f>
        <v>2423</v>
      </c>
      <c r="C16" s="254">
        <f>'Schedule 5 Workpaper '!C15</f>
        <v>268</v>
      </c>
      <c r="D16" s="254">
        <f t="shared" si="0"/>
        <v>1177</v>
      </c>
      <c r="E16" s="254">
        <f>'Schedule 5 Workpaper '!F15</f>
        <v>3868</v>
      </c>
      <c r="F16" s="540">
        <v>330</v>
      </c>
      <c r="G16" s="256">
        <f t="shared" si="1"/>
        <v>4198</v>
      </c>
      <c r="I16" s="254"/>
      <c r="J16" s="254"/>
      <c r="K16" s="254"/>
      <c r="L16" s="254"/>
      <c r="M16" s="254"/>
      <c r="N16" s="254"/>
      <c r="O16" s="254"/>
      <c r="P16" s="254"/>
      <c r="Q16" s="491"/>
      <c r="R16" s="540"/>
      <c r="S16" s="540"/>
      <c r="T16" s="264"/>
      <c r="U16" s="264"/>
    </row>
    <row r="17" spans="1:21">
      <c r="A17" s="251" t="s">
        <v>384</v>
      </c>
      <c r="B17" s="254">
        <f t="shared" si="2"/>
        <v>2183</v>
      </c>
      <c r="C17" s="254">
        <f>'Schedule 5 Workpaper '!C16</f>
        <v>243</v>
      </c>
      <c r="D17" s="254">
        <f t="shared" si="0"/>
        <v>1177</v>
      </c>
      <c r="E17" s="254">
        <f>'Schedule 5 Workpaper '!F16</f>
        <v>3603</v>
      </c>
      <c r="F17" s="540">
        <v>330</v>
      </c>
      <c r="G17" s="256">
        <f t="shared" si="1"/>
        <v>3933</v>
      </c>
      <c r="I17" s="254"/>
      <c r="J17" s="254"/>
      <c r="K17" s="254"/>
      <c r="L17" s="254"/>
      <c r="M17" s="254"/>
      <c r="N17" s="254"/>
      <c r="O17" s="254"/>
      <c r="P17" s="254"/>
      <c r="Q17" s="254"/>
      <c r="R17" s="540"/>
      <c r="S17" s="540"/>
      <c r="T17" s="264"/>
      <c r="U17" s="264"/>
    </row>
    <row r="18" spans="1:21">
      <c r="A18" s="251" t="s">
        <v>385</v>
      </c>
      <c r="B18" s="254">
        <f t="shared" si="2"/>
        <v>2040</v>
      </c>
      <c r="C18" s="254">
        <f>'Schedule 5 Workpaper '!C17</f>
        <v>234</v>
      </c>
      <c r="D18" s="254">
        <f t="shared" si="0"/>
        <v>1177</v>
      </c>
      <c r="E18" s="254">
        <f>'Schedule 5 Workpaper '!F17</f>
        <v>3451</v>
      </c>
      <c r="F18" s="540">
        <v>330</v>
      </c>
      <c r="G18" s="256">
        <f t="shared" si="1"/>
        <v>3781</v>
      </c>
      <c r="I18" s="254"/>
      <c r="J18" s="254"/>
      <c r="K18" s="254"/>
      <c r="L18" s="254"/>
      <c r="M18" s="254"/>
      <c r="N18" s="254"/>
      <c r="O18" s="254"/>
      <c r="P18" s="254"/>
      <c r="Q18" s="254"/>
      <c r="R18" s="540"/>
      <c r="S18" s="540"/>
      <c r="T18" s="264"/>
      <c r="U18" s="264"/>
    </row>
    <row r="19" spans="1:21">
      <c r="A19" s="251" t="s">
        <v>386</v>
      </c>
      <c r="B19" s="254">
        <f t="shared" si="2"/>
        <v>2641</v>
      </c>
      <c r="C19" s="254">
        <f>'Schedule 5 Workpaper '!C18</f>
        <v>294</v>
      </c>
      <c r="D19" s="254">
        <f t="shared" si="0"/>
        <v>1177</v>
      </c>
      <c r="E19" s="254">
        <f>'Schedule 5 Workpaper '!F18</f>
        <v>4112</v>
      </c>
      <c r="F19" s="540">
        <v>330</v>
      </c>
      <c r="G19" s="256">
        <f t="shared" si="1"/>
        <v>4442</v>
      </c>
      <c r="I19" s="254"/>
      <c r="J19" s="254"/>
      <c r="K19" s="254"/>
      <c r="L19" s="254"/>
      <c r="M19" s="254"/>
      <c r="N19" s="254"/>
      <c r="O19" s="254"/>
      <c r="P19" s="254"/>
      <c r="Q19" s="254"/>
      <c r="R19" s="540"/>
      <c r="S19" s="540"/>
      <c r="T19" s="264"/>
      <c r="U19" s="264"/>
    </row>
    <row r="20" spans="1:21">
      <c r="A20" s="251" t="s">
        <v>387</v>
      </c>
      <c r="B20" s="254">
        <f t="shared" si="2"/>
        <v>3194</v>
      </c>
      <c r="C20" s="254">
        <f>'Schedule 5 Workpaper '!C19</f>
        <v>364</v>
      </c>
      <c r="D20" s="254">
        <f t="shared" si="0"/>
        <v>1177</v>
      </c>
      <c r="E20" s="254">
        <f>'Schedule 5 Workpaper '!F19</f>
        <v>4735</v>
      </c>
      <c r="F20" s="540">
        <v>330</v>
      </c>
      <c r="G20" s="256">
        <f t="shared" si="1"/>
        <v>5065</v>
      </c>
      <c r="I20" s="254"/>
      <c r="J20" s="254"/>
      <c r="K20" s="254"/>
      <c r="L20" s="254"/>
      <c r="M20" s="254"/>
      <c r="N20" s="254"/>
      <c r="O20" s="254"/>
      <c r="P20" s="254"/>
      <c r="Q20" s="254"/>
      <c r="R20" s="540"/>
      <c r="S20" s="540"/>
      <c r="T20" s="264"/>
      <c r="U20" s="264"/>
    </row>
    <row r="21" spans="1:21">
      <c r="A21" s="251" t="s">
        <v>388</v>
      </c>
      <c r="B21" s="254">
        <f t="shared" si="2"/>
        <v>3602</v>
      </c>
      <c r="C21" s="254">
        <f>'Schedule 5 Workpaper '!C20</f>
        <v>400</v>
      </c>
      <c r="D21" s="254">
        <f t="shared" si="0"/>
        <v>1177</v>
      </c>
      <c r="E21" s="254">
        <f>'Schedule 5 Workpaper '!F20</f>
        <v>5179</v>
      </c>
      <c r="F21" s="540">
        <v>330</v>
      </c>
      <c r="G21" s="256">
        <f t="shared" si="1"/>
        <v>5509</v>
      </c>
      <c r="I21" s="254"/>
      <c r="J21" s="254"/>
      <c r="K21" s="254"/>
      <c r="L21" s="254"/>
      <c r="M21" s="254"/>
      <c r="N21" s="254"/>
      <c r="O21" s="254"/>
      <c r="P21" s="254"/>
      <c r="Q21" s="254"/>
      <c r="R21" s="540"/>
      <c r="S21" s="540"/>
      <c r="T21" s="264"/>
      <c r="U21" s="264"/>
    </row>
    <row r="22" spans="1:21">
      <c r="A22" s="251" t="s">
        <v>389</v>
      </c>
      <c r="B22" s="254">
        <f t="shared" si="2"/>
        <v>3418</v>
      </c>
      <c r="C22" s="254">
        <f>'Schedule 5 Workpaper '!C21</f>
        <v>377</v>
      </c>
      <c r="D22" s="254">
        <f t="shared" si="0"/>
        <v>1177</v>
      </c>
      <c r="E22" s="254">
        <f>'Schedule 5 Workpaper '!F21</f>
        <v>4972</v>
      </c>
      <c r="F22" s="540">
        <v>330</v>
      </c>
      <c r="G22" s="256">
        <f t="shared" si="1"/>
        <v>5302</v>
      </c>
      <c r="I22" s="254"/>
      <c r="J22" s="254"/>
      <c r="K22" s="254"/>
      <c r="L22" s="254"/>
      <c r="M22" s="254"/>
      <c r="N22" s="254"/>
      <c r="O22" s="254"/>
      <c r="P22" s="254"/>
      <c r="Q22" s="254"/>
      <c r="R22" s="540"/>
      <c r="S22" s="540"/>
      <c r="T22" s="264"/>
      <c r="U22" s="264"/>
    </row>
    <row r="23" spans="1:21">
      <c r="A23" s="251" t="s">
        <v>390</v>
      </c>
      <c r="B23" s="254">
        <f t="shared" si="2"/>
        <v>2734</v>
      </c>
      <c r="C23" s="254">
        <f>'Schedule 5 Workpaper '!C22</f>
        <v>263</v>
      </c>
      <c r="D23" s="254">
        <f t="shared" si="0"/>
        <v>1177</v>
      </c>
      <c r="E23" s="254">
        <f>'Schedule 5 Workpaper '!F22</f>
        <v>4174</v>
      </c>
      <c r="F23" s="540">
        <v>330</v>
      </c>
      <c r="G23" s="256">
        <f t="shared" si="1"/>
        <v>4504</v>
      </c>
      <c r="I23" s="254"/>
      <c r="J23" s="254"/>
      <c r="K23" s="254"/>
      <c r="L23" s="254"/>
      <c r="M23" s="254"/>
      <c r="N23" s="254"/>
      <c r="O23" s="254"/>
      <c r="P23" s="254"/>
      <c r="Q23" s="254"/>
      <c r="R23" s="540"/>
      <c r="S23" s="540"/>
      <c r="T23" s="264"/>
      <c r="U23" s="264"/>
    </row>
    <row r="24" spans="1:21">
      <c r="A24" s="251" t="s">
        <v>391</v>
      </c>
      <c r="B24" s="254">
        <f t="shared" si="2"/>
        <v>1870</v>
      </c>
      <c r="C24" s="254">
        <f>'Schedule 5 Workpaper '!C23</f>
        <v>209</v>
      </c>
      <c r="D24" s="254">
        <f t="shared" si="0"/>
        <v>1177</v>
      </c>
      <c r="E24" s="254">
        <f>'Schedule 5 Workpaper '!F23</f>
        <v>3256</v>
      </c>
      <c r="F24" s="540">
        <v>330</v>
      </c>
      <c r="G24" s="256">
        <f t="shared" si="1"/>
        <v>3586</v>
      </c>
      <c r="I24" s="254"/>
      <c r="J24" s="254"/>
      <c r="K24" s="254"/>
      <c r="L24" s="254"/>
      <c r="M24" s="254"/>
      <c r="N24" s="254"/>
      <c r="O24" s="254"/>
      <c r="P24" s="254"/>
      <c r="Q24" s="254"/>
      <c r="R24" s="540"/>
      <c r="S24" s="540"/>
      <c r="T24" s="540"/>
      <c r="U24" s="540"/>
    </row>
    <row r="25" spans="1:21">
      <c r="A25" s="251" t="s">
        <v>392</v>
      </c>
      <c r="B25" s="254">
        <f t="shared" si="2"/>
        <v>2253</v>
      </c>
      <c r="C25" s="254">
        <f>'Schedule 5 Workpaper '!C24</f>
        <v>282</v>
      </c>
      <c r="D25" s="254">
        <f t="shared" si="0"/>
        <v>1177</v>
      </c>
      <c r="E25" s="254">
        <f>'Schedule 5 Workpaper '!F24</f>
        <v>3712</v>
      </c>
      <c r="F25" s="540">
        <v>330</v>
      </c>
      <c r="G25" s="256">
        <f t="shared" si="1"/>
        <v>4042</v>
      </c>
      <c r="I25" s="254"/>
      <c r="J25" s="254"/>
      <c r="K25" s="254"/>
      <c r="L25" s="254"/>
      <c r="M25" s="254"/>
      <c r="N25" s="254"/>
      <c r="O25" s="254"/>
      <c r="P25" s="254"/>
      <c r="Q25" s="254"/>
      <c r="R25" s="540"/>
      <c r="S25" s="540"/>
      <c r="T25" s="540"/>
      <c r="U25" s="540"/>
    </row>
    <row r="26" spans="1:21">
      <c r="A26" s="251" t="s">
        <v>393</v>
      </c>
      <c r="B26" s="254">
        <f t="shared" si="2"/>
        <v>2196</v>
      </c>
      <c r="C26" s="254">
        <f>'Schedule 5 Workpaper '!C25</f>
        <v>237</v>
      </c>
      <c r="D26" s="254">
        <f t="shared" si="0"/>
        <v>1177</v>
      </c>
      <c r="E26" s="254">
        <f>'Schedule 5 Workpaper '!F25</f>
        <v>3610</v>
      </c>
      <c r="F26" s="540">
        <v>330</v>
      </c>
      <c r="G26" s="256">
        <f t="shared" si="1"/>
        <v>3940</v>
      </c>
      <c r="I26" s="254"/>
      <c r="J26" s="254"/>
      <c r="K26" s="254"/>
      <c r="L26" s="254"/>
      <c r="M26" s="254"/>
      <c r="N26" s="254"/>
      <c r="O26" s="254"/>
      <c r="P26" s="254"/>
      <c r="Q26" s="254"/>
      <c r="R26" s="540"/>
      <c r="S26" s="540"/>
      <c r="T26" s="540"/>
      <c r="U26" s="540"/>
    </row>
    <row r="27" spans="1:21">
      <c r="A27" s="251"/>
      <c r="G27" s="256"/>
      <c r="I27" s="254"/>
      <c r="Q27" s="254"/>
      <c r="R27" s="540"/>
      <c r="S27" s="540"/>
      <c r="T27" s="540"/>
      <c r="U27" s="540"/>
    </row>
    <row r="28" spans="1:21">
      <c r="A28" s="251" t="s">
        <v>454</v>
      </c>
      <c r="B28" s="254">
        <f>ROUND(SUM(B15:B26)/12,0)</f>
        <v>2577</v>
      </c>
      <c r="C28" s="254">
        <f>F48</f>
        <v>287</v>
      </c>
      <c r="D28" s="254">
        <f>Q70</f>
        <v>1177</v>
      </c>
      <c r="E28" s="254">
        <f>AVERAGE(E15:E26)</f>
        <v>4040.3333333333335</v>
      </c>
      <c r="F28" s="254">
        <f>AVERAGE(F15:F26)</f>
        <v>330</v>
      </c>
      <c r="G28" s="492">
        <f>SUM(E28:F28)</f>
        <v>4370.3333333333339</v>
      </c>
      <c r="I28" s="254"/>
      <c r="J28" s="254"/>
      <c r="K28" s="254"/>
      <c r="L28" s="254"/>
      <c r="M28" s="254"/>
      <c r="N28" s="254"/>
      <c r="O28" s="254"/>
      <c r="P28" s="254"/>
      <c r="Q28" s="254"/>
      <c r="R28" s="540"/>
      <c r="S28" s="540"/>
      <c r="T28" s="540"/>
      <c r="U28" s="540"/>
    </row>
    <row r="29" spans="1:21">
      <c r="A29" s="251"/>
      <c r="F29" s="493"/>
      <c r="G29" s="260"/>
      <c r="H29" s="540"/>
      <c r="I29" s="540"/>
      <c r="Q29" s="254"/>
      <c r="R29" s="540"/>
      <c r="S29" s="540"/>
      <c r="T29" s="540"/>
      <c r="U29" s="540"/>
    </row>
    <row r="30" spans="1:21">
      <c r="A30" s="494" t="s">
        <v>1076</v>
      </c>
      <c r="B30" s="495"/>
      <c r="C30" s="258"/>
      <c r="D30" s="258"/>
      <c r="E30" s="258"/>
      <c r="F30" s="258"/>
      <c r="G30" s="340"/>
      <c r="H30" s="540"/>
      <c r="I30" s="540"/>
      <c r="Q30" s="254"/>
      <c r="R30" s="540"/>
      <c r="S30" s="540"/>
      <c r="T30" s="540"/>
      <c r="U30" s="540"/>
    </row>
    <row r="31" spans="1:21">
      <c r="B31" s="264"/>
      <c r="C31" s="264"/>
      <c r="D31" s="264"/>
      <c r="E31" s="264"/>
      <c r="F31" s="264"/>
      <c r="G31" s="264"/>
      <c r="H31" s="264"/>
      <c r="I31" s="264"/>
      <c r="Q31" s="254"/>
      <c r="R31" s="540"/>
      <c r="S31" s="540"/>
      <c r="T31" s="541"/>
      <c r="U31" s="541"/>
    </row>
    <row r="32" spans="1:21">
      <c r="A32" s="486"/>
      <c r="B32" s="572" t="s">
        <v>286</v>
      </c>
      <c r="C32" s="572"/>
      <c r="D32" s="572"/>
      <c r="E32" s="572"/>
      <c r="F32" s="572"/>
      <c r="G32" s="259"/>
    </row>
    <row r="33" spans="1:20" s="539" customFormat="1">
      <c r="A33" s="496"/>
      <c r="B33" s="539" t="s">
        <v>465</v>
      </c>
      <c r="C33" s="539" t="s">
        <v>466</v>
      </c>
      <c r="D33" s="539" t="s">
        <v>468</v>
      </c>
      <c r="E33" s="539" t="s">
        <v>1377</v>
      </c>
      <c r="F33" s="253" t="s">
        <v>469</v>
      </c>
    </row>
    <row r="34" spans="1:20" s="539" customFormat="1">
      <c r="A34" s="496"/>
      <c r="F34" s="252" t="s">
        <v>458</v>
      </c>
    </row>
    <row r="35" spans="1:20">
      <c r="A35" s="251" t="s">
        <v>382</v>
      </c>
      <c r="B35" s="497">
        <v>0.49392000000000003</v>
      </c>
      <c r="C35" s="498">
        <v>3</v>
      </c>
      <c r="D35" s="498">
        <v>193</v>
      </c>
      <c r="E35" s="498">
        <v>74</v>
      </c>
      <c r="F35" s="256">
        <f t="shared" ref="F35:F46" si="3">SUM(B35:E35)</f>
        <v>270.49392</v>
      </c>
      <c r="G35" s="540"/>
      <c r="H35" s="540"/>
      <c r="I35" s="540"/>
      <c r="Q35" s="540"/>
      <c r="R35" s="540"/>
      <c r="S35" s="540"/>
      <c r="T35" s="540"/>
    </row>
    <row r="36" spans="1:20">
      <c r="A36" s="251" t="s">
        <v>383</v>
      </c>
      <c r="B36" s="497">
        <v>0.40956999999999999</v>
      </c>
      <c r="C36" s="498">
        <v>3</v>
      </c>
      <c r="D36" s="498">
        <v>199</v>
      </c>
      <c r="E36" s="498">
        <v>66</v>
      </c>
      <c r="F36" s="256">
        <f t="shared" si="3"/>
        <v>268.40957000000003</v>
      </c>
      <c r="G36" s="540"/>
      <c r="H36" s="540"/>
      <c r="I36" s="540"/>
      <c r="Q36" s="540"/>
      <c r="R36" s="540"/>
      <c r="S36" s="540"/>
      <c r="T36" s="540"/>
    </row>
    <row r="37" spans="1:20">
      <c r="A37" s="251" t="s">
        <v>384</v>
      </c>
      <c r="B37" s="497">
        <v>0.39739000000000002</v>
      </c>
      <c r="C37" s="498">
        <v>3</v>
      </c>
      <c r="D37" s="498">
        <v>178</v>
      </c>
      <c r="E37" s="498">
        <v>62</v>
      </c>
      <c r="F37" s="256">
        <f t="shared" si="3"/>
        <v>243.39739</v>
      </c>
      <c r="G37" s="540"/>
      <c r="H37" s="540"/>
      <c r="I37" s="540"/>
      <c r="Q37" s="540"/>
      <c r="R37" s="540"/>
      <c r="S37" s="540"/>
      <c r="T37" s="540"/>
    </row>
    <row r="38" spans="1:20">
      <c r="A38" s="251" t="s">
        <v>385</v>
      </c>
      <c r="B38" s="497">
        <v>0.39571000000000001</v>
      </c>
      <c r="C38" s="498">
        <v>3</v>
      </c>
      <c r="D38" s="498">
        <v>170</v>
      </c>
      <c r="E38" s="498">
        <v>61</v>
      </c>
      <c r="F38" s="256">
        <f t="shared" si="3"/>
        <v>234.39571000000001</v>
      </c>
      <c r="G38" s="540"/>
      <c r="H38" s="540"/>
      <c r="I38" s="540"/>
      <c r="Q38" s="540"/>
      <c r="R38" s="540"/>
      <c r="S38" s="540"/>
      <c r="T38" s="540"/>
    </row>
    <row r="39" spans="1:20">
      <c r="A39" s="251" t="s">
        <v>386</v>
      </c>
      <c r="B39" s="497">
        <v>0.24661</v>
      </c>
      <c r="C39" s="498">
        <v>56</v>
      </c>
      <c r="D39" s="498">
        <v>196</v>
      </c>
      <c r="E39" s="498">
        <v>42</v>
      </c>
      <c r="F39" s="256">
        <f t="shared" si="3"/>
        <v>294.24661000000003</v>
      </c>
      <c r="G39" s="540"/>
      <c r="H39" s="540"/>
      <c r="I39" s="540"/>
      <c r="Q39" s="540"/>
      <c r="R39" s="540"/>
      <c r="S39" s="540"/>
      <c r="T39" s="540"/>
    </row>
    <row r="40" spans="1:20">
      <c r="A40" s="251" t="s">
        <v>387</v>
      </c>
      <c r="B40" s="497">
        <v>0.28119</v>
      </c>
      <c r="C40" s="498">
        <v>84</v>
      </c>
      <c r="D40" s="498">
        <v>230</v>
      </c>
      <c r="E40" s="498">
        <v>50</v>
      </c>
      <c r="F40" s="256">
        <f t="shared" si="3"/>
        <v>364.28118999999998</v>
      </c>
      <c r="G40" s="540"/>
      <c r="H40" s="540"/>
      <c r="I40" s="540"/>
      <c r="Q40" s="540"/>
      <c r="R40" s="540"/>
      <c r="S40" s="540"/>
      <c r="T40" s="540"/>
    </row>
    <row r="41" spans="1:20">
      <c r="A41" s="251" t="s">
        <v>388</v>
      </c>
      <c r="B41" s="497">
        <v>0.33271000000000001</v>
      </c>
      <c r="C41" s="498">
        <v>76</v>
      </c>
      <c r="D41" s="498">
        <v>264</v>
      </c>
      <c r="E41" s="498">
        <v>60</v>
      </c>
      <c r="F41" s="256">
        <f t="shared" si="3"/>
        <v>400.33271000000002</v>
      </c>
      <c r="G41" s="540"/>
      <c r="H41" s="540"/>
      <c r="I41" s="540"/>
      <c r="Q41" s="540"/>
      <c r="R41" s="540"/>
      <c r="S41" s="540"/>
      <c r="T41" s="540"/>
    </row>
    <row r="42" spans="1:20">
      <c r="A42" s="251" t="s">
        <v>389</v>
      </c>
      <c r="B42" s="497">
        <v>0.37036999999999998</v>
      </c>
      <c r="C42" s="498">
        <v>69</v>
      </c>
      <c r="D42" s="498">
        <v>247</v>
      </c>
      <c r="E42" s="498">
        <v>61</v>
      </c>
      <c r="F42" s="256">
        <f t="shared" si="3"/>
        <v>377.37036999999998</v>
      </c>
      <c r="G42" s="540"/>
      <c r="H42" s="540"/>
      <c r="I42" s="540"/>
      <c r="Q42" s="540"/>
      <c r="R42" s="540"/>
      <c r="S42" s="540"/>
      <c r="T42" s="540"/>
    </row>
    <row r="43" spans="1:20">
      <c r="A43" s="251" t="s">
        <v>390</v>
      </c>
      <c r="B43" s="497">
        <v>0.21448</v>
      </c>
      <c r="C43" s="498">
        <v>46</v>
      </c>
      <c r="D43" s="498">
        <v>176</v>
      </c>
      <c r="E43" s="498">
        <v>41</v>
      </c>
      <c r="F43" s="256">
        <f t="shared" si="3"/>
        <v>263.21447999999998</v>
      </c>
      <c r="G43" s="540"/>
      <c r="H43" s="540"/>
      <c r="I43" s="540"/>
      <c r="Q43" s="540"/>
      <c r="R43" s="540"/>
      <c r="S43" s="540"/>
      <c r="T43" s="540"/>
    </row>
    <row r="44" spans="1:20">
      <c r="A44" s="251" t="s">
        <v>391</v>
      </c>
      <c r="B44" s="497">
        <v>0.32683000000000001</v>
      </c>
      <c r="C44" s="498">
        <v>3</v>
      </c>
      <c r="D44" s="498">
        <v>151</v>
      </c>
      <c r="E44" s="498">
        <v>55</v>
      </c>
      <c r="F44" s="256">
        <f t="shared" si="3"/>
        <v>209.32683</v>
      </c>
      <c r="G44" s="540"/>
      <c r="H44" s="540"/>
      <c r="I44" s="540"/>
      <c r="Q44" s="540"/>
      <c r="R44" s="540"/>
      <c r="S44" s="540"/>
      <c r="T44" s="540"/>
    </row>
    <row r="45" spans="1:20">
      <c r="A45" s="251" t="s">
        <v>392</v>
      </c>
      <c r="B45" s="497">
        <v>0.43287999999999999</v>
      </c>
      <c r="C45" s="498">
        <v>4</v>
      </c>
      <c r="D45" s="498">
        <v>215</v>
      </c>
      <c r="E45" s="498">
        <v>63</v>
      </c>
      <c r="F45" s="256">
        <f t="shared" si="3"/>
        <v>282.43288000000001</v>
      </c>
      <c r="G45" s="540"/>
      <c r="H45" s="540"/>
      <c r="I45" s="540"/>
      <c r="Q45" s="540"/>
      <c r="R45" s="540"/>
      <c r="S45" s="540"/>
      <c r="T45" s="540"/>
    </row>
    <row r="46" spans="1:20">
      <c r="A46" s="251" t="s">
        <v>393</v>
      </c>
      <c r="B46" s="497">
        <v>0.38038</v>
      </c>
      <c r="C46" s="498">
        <v>3</v>
      </c>
      <c r="D46" s="498">
        <v>179</v>
      </c>
      <c r="E46" s="498">
        <v>55</v>
      </c>
      <c r="F46" s="256">
        <f t="shared" si="3"/>
        <v>237.38038</v>
      </c>
      <c r="G46" s="540"/>
      <c r="H46" s="540"/>
      <c r="I46" s="540"/>
      <c r="Q46" s="540"/>
      <c r="R46" s="540"/>
      <c r="S46" s="540"/>
      <c r="T46" s="540"/>
    </row>
    <row r="47" spans="1:20">
      <c r="A47" s="251"/>
      <c r="D47" s="193"/>
      <c r="E47" s="193"/>
      <c r="F47" s="252"/>
      <c r="G47" s="540"/>
      <c r="H47" s="540"/>
      <c r="I47" s="540"/>
      <c r="J47" s="193"/>
      <c r="K47" s="193"/>
      <c r="L47" s="193"/>
      <c r="M47" s="193"/>
      <c r="N47" s="193"/>
      <c r="O47" s="193"/>
      <c r="P47" s="193"/>
    </row>
    <row r="48" spans="1:20">
      <c r="A48" s="257" t="s">
        <v>454</v>
      </c>
      <c r="B48" s="499">
        <f>SUM(B35:B46)/12</f>
        <v>0.35683666666666669</v>
      </c>
      <c r="C48" s="499">
        <f>SUM(C35:C46)/12</f>
        <v>29.416666666666668</v>
      </c>
      <c r="D48" s="499">
        <f>SUM(D35:D46)/12</f>
        <v>199.83333333333334</v>
      </c>
      <c r="E48" s="499">
        <f>SUM(E35:E46)/12</f>
        <v>57.5</v>
      </c>
      <c r="F48" s="500">
        <f>TRUNC(SUM(F35:F46)/12,0)</f>
        <v>287</v>
      </c>
      <c r="G48" s="540"/>
      <c r="H48" s="540"/>
      <c r="I48" s="540"/>
      <c r="Q48" s="540"/>
      <c r="R48" s="540"/>
      <c r="S48" s="540"/>
      <c r="T48" s="540"/>
    </row>
    <row r="49" spans="1:21">
      <c r="F49" s="540"/>
      <c r="G49" s="540"/>
      <c r="H49" s="540"/>
      <c r="I49" s="540"/>
      <c r="Q49" s="540"/>
      <c r="R49" s="540"/>
      <c r="S49" s="540"/>
      <c r="T49" s="540"/>
      <c r="U49" s="540"/>
    </row>
    <row r="51" spans="1:21">
      <c r="A51" s="573" t="s">
        <v>470</v>
      </c>
      <c r="B51" s="574"/>
      <c r="C51" s="574"/>
      <c r="D51" s="574"/>
      <c r="E51" s="574"/>
      <c r="F51" s="574"/>
      <c r="G51" s="574"/>
      <c r="H51" s="574"/>
      <c r="I51" s="574"/>
      <c r="J51" s="574"/>
      <c r="K51" s="574"/>
      <c r="L51" s="574"/>
      <c r="M51" s="574"/>
      <c r="N51" s="574"/>
      <c r="O51" s="574"/>
      <c r="P51" s="574"/>
      <c r="Q51" s="575"/>
    </row>
    <row r="52" spans="1:21">
      <c r="A52" s="501"/>
      <c r="B52" s="265" t="s">
        <v>471</v>
      </c>
      <c r="C52" s="265" t="s">
        <v>837</v>
      </c>
      <c r="D52" s="265" t="s">
        <v>739</v>
      </c>
      <c r="E52" s="265" t="s">
        <v>740</v>
      </c>
      <c r="F52" s="265" t="s">
        <v>740</v>
      </c>
      <c r="G52" s="265" t="s">
        <v>740</v>
      </c>
      <c r="H52" s="265" t="s">
        <v>740</v>
      </c>
      <c r="I52" s="265" t="s">
        <v>740</v>
      </c>
      <c r="J52" s="265" t="s">
        <v>901</v>
      </c>
      <c r="K52" s="265" t="s">
        <v>901</v>
      </c>
      <c r="L52" s="265" t="s">
        <v>1154</v>
      </c>
      <c r="M52" s="265" t="s">
        <v>1071</v>
      </c>
      <c r="N52" s="265" t="s">
        <v>1071</v>
      </c>
      <c r="O52" s="265" t="s">
        <v>1069</v>
      </c>
      <c r="P52" s="265" t="s">
        <v>1071</v>
      </c>
      <c r="Q52" s="253" t="s">
        <v>381</v>
      </c>
    </row>
    <row r="53" spans="1:21" ht="66" customHeight="1">
      <c r="A53" s="502" t="s">
        <v>472</v>
      </c>
      <c r="B53" s="488">
        <v>89988212</v>
      </c>
      <c r="C53" s="488">
        <v>90526553</v>
      </c>
      <c r="D53" s="488">
        <v>85861887</v>
      </c>
      <c r="E53" s="488">
        <v>87136803</v>
      </c>
      <c r="F53" s="488">
        <v>871366778</v>
      </c>
      <c r="G53" s="488">
        <v>88788941</v>
      </c>
      <c r="H53" s="488">
        <v>89375962</v>
      </c>
      <c r="I53" s="488">
        <v>89375972</v>
      </c>
      <c r="J53" s="488">
        <v>91629500</v>
      </c>
      <c r="K53" s="488">
        <v>91629850</v>
      </c>
      <c r="L53" s="488" t="s">
        <v>1152</v>
      </c>
      <c r="M53" s="488">
        <v>92502052</v>
      </c>
      <c r="N53" s="488">
        <v>92502053</v>
      </c>
      <c r="O53" s="488">
        <v>92945096</v>
      </c>
      <c r="P53" s="488">
        <v>93016533</v>
      </c>
      <c r="Q53" s="260"/>
    </row>
    <row r="54" spans="1:21" ht="52.5" customHeight="1">
      <c r="A54" s="502" t="s">
        <v>900</v>
      </c>
      <c r="B54" s="488" t="s">
        <v>1067</v>
      </c>
      <c r="C54" s="488" t="s">
        <v>1068</v>
      </c>
      <c r="D54" s="488" t="s">
        <v>979</v>
      </c>
      <c r="E54" s="503" t="s">
        <v>980</v>
      </c>
      <c r="F54" s="503" t="s">
        <v>978</v>
      </c>
      <c r="G54" s="503" t="s">
        <v>981</v>
      </c>
      <c r="H54" s="503" t="s">
        <v>982</v>
      </c>
      <c r="I54" s="503" t="s">
        <v>982</v>
      </c>
      <c r="J54" s="488" t="s">
        <v>1066</v>
      </c>
      <c r="K54" s="488" t="s">
        <v>1066</v>
      </c>
      <c r="L54" s="488" t="s">
        <v>1068</v>
      </c>
      <c r="M54" s="488" t="s">
        <v>1072</v>
      </c>
      <c r="N54" s="488" t="s">
        <v>1072</v>
      </c>
      <c r="O54" s="488" t="s">
        <v>1073</v>
      </c>
      <c r="P54" s="488" t="s">
        <v>1155</v>
      </c>
      <c r="Q54" s="260"/>
    </row>
    <row r="55" spans="1:21" ht="25.5">
      <c r="A55" s="502" t="s">
        <v>284</v>
      </c>
      <c r="B55" s="488" t="s">
        <v>946</v>
      </c>
      <c r="C55" s="488" t="s">
        <v>285</v>
      </c>
      <c r="D55" s="488" t="s">
        <v>741</v>
      </c>
      <c r="E55" s="488" t="s">
        <v>887</v>
      </c>
      <c r="F55" s="503" t="s">
        <v>874</v>
      </c>
      <c r="G55" s="503" t="s">
        <v>874</v>
      </c>
      <c r="H55" s="503" t="s">
        <v>888</v>
      </c>
      <c r="I55" s="503" t="s">
        <v>874</v>
      </c>
      <c r="J55" s="503" t="s">
        <v>902</v>
      </c>
      <c r="K55" s="503" t="s">
        <v>903</v>
      </c>
      <c r="L55" s="488" t="s">
        <v>1153</v>
      </c>
      <c r="M55" s="488" t="s">
        <v>1074</v>
      </c>
      <c r="N55" s="488" t="s">
        <v>1074</v>
      </c>
      <c r="O55" s="488" t="s">
        <v>1070</v>
      </c>
      <c r="P55" s="488" t="s">
        <v>1075</v>
      </c>
      <c r="Q55" s="260"/>
    </row>
    <row r="56" spans="1:21">
      <c r="A56" s="487"/>
      <c r="B56" s="504"/>
      <c r="C56" s="488"/>
      <c r="D56" s="488"/>
      <c r="E56" s="488"/>
      <c r="F56" s="488"/>
      <c r="G56" s="540"/>
      <c r="J56" s="193"/>
      <c r="K56" s="193"/>
      <c r="L56" s="193"/>
      <c r="M56" s="193"/>
      <c r="N56" s="193"/>
      <c r="O56" s="193"/>
      <c r="P56" s="193"/>
      <c r="Q56" s="260"/>
    </row>
    <row r="57" spans="1:21">
      <c r="A57" s="251" t="s">
        <v>382</v>
      </c>
      <c r="B57" s="540">
        <v>75</v>
      </c>
      <c r="C57" s="540">
        <v>16</v>
      </c>
      <c r="D57" s="540">
        <v>101</v>
      </c>
      <c r="E57" s="540">
        <v>124</v>
      </c>
      <c r="F57" s="540">
        <v>76</v>
      </c>
      <c r="G57" s="540">
        <v>60</v>
      </c>
      <c r="H57" s="540">
        <v>241</v>
      </c>
      <c r="I57" s="540">
        <v>9</v>
      </c>
      <c r="J57" s="540">
        <v>100</v>
      </c>
      <c r="K57" s="540">
        <v>100</v>
      </c>
      <c r="L57" s="540">
        <v>2</v>
      </c>
      <c r="M57" s="540">
        <v>100</v>
      </c>
      <c r="N57" s="540">
        <v>100</v>
      </c>
      <c r="O57" s="540">
        <v>2</v>
      </c>
      <c r="P57" s="540">
        <v>71</v>
      </c>
      <c r="Q57" s="252">
        <f t="shared" ref="Q57:Q68" si="4">SUM(B57:P57)</f>
        <v>1177</v>
      </c>
    </row>
    <row r="58" spans="1:21">
      <c r="A58" s="251" t="s">
        <v>383</v>
      </c>
      <c r="B58" s="540">
        <v>75</v>
      </c>
      <c r="C58" s="540">
        <v>16</v>
      </c>
      <c r="D58" s="540">
        <v>101</v>
      </c>
      <c r="E58" s="540">
        <v>124</v>
      </c>
      <c r="F58" s="540">
        <v>76</v>
      </c>
      <c r="G58" s="540">
        <v>60</v>
      </c>
      <c r="H58" s="540">
        <v>241</v>
      </c>
      <c r="I58" s="540">
        <v>9</v>
      </c>
      <c r="J58" s="540">
        <v>100</v>
      </c>
      <c r="K58" s="540">
        <v>100</v>
      </c>
      <c r="L58" s="540">
        <v>2</v>
      </c>
      <c r="M58" s="540">
        <v>100</v>
      </c>
      <c r="N58" s="540">
        <v>100</v>
      </c>
      <c r="O58" s="540">
        <v>2</v>
      </c>
      <c r="P58" s="540">
        <v>71</v>
      </c>
      <c r="Q58" s="252">
        <f t="shared" si="4"/>
        <v>1177</v>
      </c>
    </row>
    <row r="59" spans="1:21">
      <c r="A59" s="251" t="s">
        <v>384</v>
      </c>
      <c r="B59" s="540">
        <v>75</v>
      </c>
      <c r="C59" s="540">
        <v>16</v>
      </c>
      <c r="D59" s="540">
        <v>101</v>
      </c>
      <c r="E59" s="540">
        <v>124</v>
      </c>
      <c r="F59" s="540">
        <v>76</v>
      </c>
      <c r="G59" s="540">
        <v>60</v>
      </c>
      <c r="H59" s="540">
        <v>241</v>
      </c>
      <c r="I59" s="540">
        <v>9</v>
      </c>
      <c r="J59" s="540">
        <v>100</v>
      </c>
      <c r="K59" s="540">
        <v>100</v>
      </c>
      <c r="L59" s="540">
        <v>2</v>
      </c>
      <c r="M59" s="540">
        <v>100</v>
      </c>
      <c r="N59" s="540">
        <v>100</v>
      </c>
      <c r="O59" s="540">
        <v>2</v>
      </c>
      <c r="P59" s="540">
        <v>71</v>
      </c>
      <c r="Q59" s="252">
        <f t="shared" si="4"/>
        <v>1177</v>
      </c>
    </row>
    <row r="60" spans="1:21">
      <c r="A60" s="251" t="s">
        <v>385</v>
      </c>
      <c r="B60" s="540">
        <v>75</v>
      </c>
      <c r="C60" s="540">
        <v>16</v>
      </c>
      <c r="D60" s="540">
        <v>101</v>
      </c>
      <c r="E60" s="540">
        <v>124</v>
      </c>
      <c r="F60" s="540">
        <v>76</v>
      </c>
      <c r="G60" s="540">
        <v>60</v>
      </c>
      <c r="H60" s="540">
        <v>241</v>
      </c>
      <c r="I60" s="540">
        <v>9</v>
      </c>
      <c r="J60" s="540">
        <v>100</v>
      </c>
      <c r="K60" s="540">
        <v>100</v>
      </c>
      <c r="L60" s="540">
        <v>2</v>
      </c>
      <c r="M60" s="540">
        <v>100</v>
      </c>
      <c r="N60" s="540">
        <v>100</v>
      </c>
      <c r="O60" s="540">
        <v>2</v>
      </c>
      <c r="P60" s="540">
        <v>71</v>
      </c>
      <c r="Q60" s="252">
        <f t="shared" si="4"/>
        <v>1177</v>
      </c>
    </row>
    <row r="61" spans="1:21">
      <c r="A61" s="251" t="s">
        <v>386</v>
      </c>
      <c r="B61" s="540">
        <v>75</v>
      </c>
      <c r="C61" s="540">
        <v>16</v>
      </c>
      <c r="D61" s="540">
        <v>101</v>
      </c>
      <c r="E61" s="540">
        <v>124</v>
      </c>
      <c r="F61" s="540">
        <v>76</v>
      </c>
      <c r="G61" s="540">
        <v>60</v>
      </c>
      <c r="H61" s="540">
        <v>241</v>
      </c>
      <c r="I61" s="540">
        <v>9</v>
      </c>
      <c r="J61" s="540">
        <v>100</v>
      </c>
      <c r="K61" s="540">
        <v>100</v>
      </c>
      <c r="L61" s="540">
        <v>2</v>
      </c>
      <c r="M61" s="540">
        <v>100</v>
      </c>
      <c r="N61" s="540">
        <v>100</v>
      </c>
      <c r="O61" s="540">
        <v>2</v>
      </c>
      <c r="P61" s="540">
        <v>71</v>
      </c>
      <c r="Q61" s="252">
        <f t="shared" si="4"/>
        <v>1177</v>
      </c>
    </row>
    <row r="62" spans="1:21">
      <c r="A62" s="251" t="s">
        <v>387</v>
      </c>
      <c r="B62" s="540">
        <v>75</v>
      </c>
      <c r="C62" s="540">
        <v>16</v>
      </c>
      <c r="D62" s="540">
        <v>101</v>
      </c>
      <c r="E62" s="540">
        <v>124</v>
      </c>
      <c r="F62" s="540">
        <v>76</v>
      </c>
      <c r="G62" s="540">
        <v>60</v>
      </c>
      <c r="H62" s="540">
        <v>241</v>
      </c>
      <c r="I62" s="540">
        <v>9</v>
      </c>
      <c r="J62" s="540">
        <v>100</v>
      </c>
      <c r="K62" s="540">
        <v>100</v>
      </c>
      <c r="L62" s="540">
        <v>2</v>
      </c>
      <c r="M62" s="540">
        <v>100</v>
      </c>
      <c r="N62" s="540">
        <v>100</v>
      </c>
      <c r="O62" s="540">
        <v>2</v>
      </c>
      <c r="P62" s="540">
        <v>71</v>
      </c>
      <c r="Q62" s="252">
        <f t="shared" si="4"/>
        <v>1177</v>
      </c>
    </row>
    <row r="63" spans="1:21">
      <c r="A63" s="251" t="s">
        <v>388</v>
      </c>
      <c r="B63" s="540">
        <v>75</v>
      </c>
      <c r="C63" s="540">
        <v>16</v>
      </c>
      <c r="D63" s="540">
        <v>101</v>
      </c>
      <c r="E63" s="540">
        <v>124</v>
      </c>
      <c r="F63" s="540">
        <v>76</v>
      </c>
      <c r="G63" s="540">
        <v>60</v>
      </c>
      <c r="H63" s="540">
        <v>241</v>
      </c>
      <c r="I63" s="540">
        <v>9</v>
      </c>
      <c r="J63" s="540">
        <v>100</v>
      </c>
      <c r="K63" s="540">
        <v>100</v>
      </c>
      <c r="L63" s="540">
        <v>2</v>
      </c>
      <c r="M63" s="540">
        <v>100</v>
      </c>
      <c r="N63" s="540">
        <v>100</v>
      </c>
      <c r="O63" s="540">
        <v>2</v>
      </c>
      <c r="P63" s="540">
        <v>71</v>
      </c>
      <c r="Q63" s="252">
        <f t="shared" si="4"/>
        <v>1177</v>
      </c>
    </row>
    <row r="64" spans="1:21">
      <c r="A64" s="251" t="s">
        <v>389</v>
      </c>
      <c r="B64" s="540">
        <v>75</v>
      </c>
      <c r="C64" s="540">
        <v>16</v>
      </c>
      <c r="D64" s="540">
        <v>101</v>
      </c>
      <c r="E64" s="540">
        <v>124</v>
      </c>
      <c r="F64" s="540">
        <v>76</v>
      </c>
      <c r="G64" s="540">
        <v>60</v>
      </c>
      <c r="H64" s="540">
        <v>241</v>
      </c>
      <c r="I64" s="540">
        <v>9</v>
      </c>
      <c r="J64" s="540">
        <v>100</v>
      </c>
      <c r="K64" s="540">
        <v>100</v>
      </c>
      <c r="L64" s="540">
        <v>2</v>
      </c>
      <c r="M64" s="540">
        <v>100</v>
      </c>
      <c r="N64" s="540">
        <v>100</v>
      </c>
      <c r="O64" s="540">
        <v>2</v>
      </c>
      <c r="P64" s="540">
        <v>71</v>
      </c>
      <c r="Q64" s="252">
        <f t="shared" si="4"/>
        <v>1177</v>
      </c>
    </row>
    <row r="65" spans="1:19">
      <c r="A65" s="251" t="s">
        <v>390</v>
      </c>
      <c r="B65" s="540">
        <v>75</v>
      </c>
      <c r="C65" s="540">
        <v>16</v>
      </c>
      <c r="D65" s="540">
        <v>101</v>
      </c>
      <c r="E65" s="540">
        <v>124</v>
      </c>
      <c r="F65" s="540">
        <v>76</v>
      </c>
      <c r="G65" s="540">
        <v>60</v>
      </c>
      <c r="H65" s="540">
        <v>241</v>
      </c>
      <c r="I65" s="540">
        <v>9</v>
      </c>
      <c r="J65" s="540">
        <v>100</v>
      </c>
      <c r="K65" s="540">
        <v>100</v>
      </c>
      <c r="L65" s="540">
        <v>2</v>
      </c>
      <c r="M65" s="540">
        <v>100</v>
      </c>
      <c r="N65" s="540">
        <v>100</v>
      </c>
      <c r="O65" s="540">
        <v>2</v>
      </c>
      <c r="P65" s="540">
        <v>71</v>
      </c>
      <c r="Q65" s="252">
        <f t="shared" si="4"/>
        <v>1177</v>
      </c>
    </row>
    <row r="66" spans="1:19">
      <c r="A66" s="251" t="s">
        <v>391</v>
      </c>
      <c r="B66" s="540">
        <v>75</v>
      </c>
      <c r="C66" s="540">
        <v>16</v>
      </c>
      <c r="D66" s="540">
        <v>101</v>
      </c>
      <c r="E66" s="540">
        <v>124</v>
      </c>
      <c r="F66" s="540">
        <v>76</v>
      </c>
      <c r="G66" s="540">
        <v>60</v>
      </c>
      <c r="H66" s="540">
        <v>241</v>
      </c>
      <c r="I66" s="540">
        <v>9</v>
      </c>
      <c r="J66" s="540">
        <v>100</v>
      </c>
      <c r="K66" s="540">
        <v>100</v>
      </c>
      <c r="L66" s="540">
        <v>2</v>
      </c>
      <c r="M66" s="540">
        <v>100</v>
      </c>
      <c r="N66" s="540">
        <v>100</v>
      </c>
      <c r="O66" s="540">
        <v>2</v>
      </c>
      <c r="P66" s="540">
        <v>71</v>
      </c>
      <c r="Q66" s="252">
        <f t="shared" si="4"/>
        <v>1177</v>
      </c>
    </row>
    <row r="67" spans="1:19">
      <c r="A67" s="251" t="s">
        <v>392</v>
      </c>
      <c r="B67" s="540">
        <v>75</v>
      </c>
      <c r="C67" s="540">
        <v>16</v>
      </c>
      <c r="D67" s="540">
        <v>101</v>
      </c>
      <c r="E67" s="540">
        <v>124</v>
      </c>
      <c r="F67" s="540">
        <v>76</v>
      </c>
      <c r="G67" s="540">
        <v>60</v>
      </c>
      <c r="H67" s="540">
        <v>241</v>
      </c>
      <c r="I67" s="540">
        <v>9</v>
      </c>
      <c r="J67" s="540">
        <v>100</v>
      </c>
      <c r="K67" s="540">
        <v>100</v>
      </c>
      <c r="L67" s="540">
        <v>2</v>
      </c>
      <c r="M67" s="540">
        <v>100</v>
      </c>
      <c r="N67" s="540">
        <v>100</v>
      </c>
      <c r="O67" s="540">
        <v>2</v>
      </c>
      <c r="P67" s="540">
        <v>71</v>
      </c>
      <c r="Q67" s="252">
        <f t="shared" si="4"/>
        <v>1177</v>
      </c>
    </row>
    <row r="68" spans="1:19">
      <c r="A68" s="251" t="s">
        <v>393</v>
      </c>
      <c r="B68" s="540">
        <v>75</v>
      </c>
      <c r="C68" s="540">
        <v>16</v>
      </c>
      <c r="D68" s="540">
        <v>101</v>
      </c>
      <c r="E68" s="540">
        <v>124</v>
      </c>
      <c r="F68" s="540">
        <v>76</v>
      </c>
      <c r="G68" s="540">
        <v>60</v>
      </c>
      <c r="H68" s="540">
        <v>241</v>
      </c>
      <c r="I68" s="540">
        <v>9</v>
      </c>
      <c r="J68" s="540">
        <v>100</v>
      </c>
      <c r="K68" s="540">
        <v>100</v>
      </c>
      <c r="L68" s="540">
        <v>2</v>
      </c>
      <c r="M68" s="540">
        <v>100</v>
      </c>
      <c r="N68" s="540">
        <v>100</v>
      </c>
      <c r="O68" s="540">
        <v>2</v>
      </c>
      <c r="P68" s="540">
        <v>71</v>
      </c>
      <c r="Q68" s="252">
        <f t="shared" si="4"/>
        <v>1177</v>
      </c>
    </row>
    <row r="69" spans="1:19">
      <c r="A69" s="251"/>
      <c r="F69" s="540"/>
      <c r="G69" s="540"/>
      <c r="J69" s="193"/>
      <c r="K69" s="193"/>
      <c r="L69" s="193"/>
      <c r="M69" s="193"/>
      <c r="N69" s="193"/>
      <c r="O69" s="193"/>
      <c r="P69" s="193"/>
      <c r="Q69" s="252"/>
    </row>
    <row r="70" spans="1:19">
      <c r="A70" s="257" t="s">
        <v>454</v>
      </c>
      <c r="B70" s="499">
        <f t="shared" ref="B70:I70" si="5">ROUND(AVERAGE(B57:B68),0)</f>
        <v>75</v>
      </c>
      <c r="C70" s="499">
        <f t="shared" si="5"/>
        <v>16</v>
      </c>
      <c r="D70" s="499">
        <f t="shared" si="5"/>
        <v>101</v>
      </c>
      <c r="E70" s="499">
        <f t="shared" si="5"/>
        <v>124</v>
      </c>
      <c r="F70" s="499">
        <f t="shared" si="5"/>
        <v>76</v>
      </c>
      <c r="G70" s="499">
        <f t="shared" si="5"/>
        <v>60</v>
      </c>
      <c r="H70" s="499">
        <f t="shared" si="5"/>
        <v>241</v>
      </c>
      <c r="I70" s="499">
        <f t="shared" si="5"/>
        <v>9</v>
      </c>
      <c r="J70" s="499">
        <f>ROUND(AVERAGE(J57:J68),0)</f>
        <v>100</v>
      </c>
      <c r="K70" s="499">
        <f>ROUND(AVERAGE(K57:K68),0)</f>
        <v>100</v>
      </c>
      <c r="L70" s="499">
        <f t="shared" ref="L70:Q70" si="6">ROUND(AVERAGE(L57:L68),0)</f>
        <v>2</v>
      </c>
      <c r="M70" s="499">
        <f t="shared" si="6"/>
        <v>100</v>
      </c>
      <c r="N70" s="499">
        <f t="shared" si="6"/>
        <v>100</v>
      </c>
      <c r="O70" s="499">
        <f t="shared" si="6"/>
        <v>2</v>
      </c>
      <c r="P70" s="499">
        <f t="shared" si="6"/>
        <v>71</v>
      </c>
      <c r="Q70" s="500">
        <f t="shared" si="6"/>
        <v>1177</v>
      </c>
    </row>
    <row r="71" spans="1:19">
      <c r="D71" s="331"/>
      <c r="E71" s="331"/>
      <c r="F71" s="331"/>
      <c r="G71" s="540"/>
      <c r="H71" s="540"/>
      <c r="I71" s="540"/>
      <c r="J71" s="331"/>
      <c r="K71" s="331"/>
      <c r="L71" s="331"/>
      <c r="M71" s="331"/>
      <c r="N71" s="331"/>
      <c r="O71" s="331"/>
      <c r="P71" s="331"/>
      <c r="Q71" s="331"/>
      <c r="R71" s="331"/>
      <c r="S71" s="331"/>
    </row>
    <row r="72" spans="1:19">
      <c r="E72" s="193"/>
    </row>
    <row r="73" spans="1:19" ht="15.75" customHeight="1">
      <c r="A73" s="570"/>
      <c r="B73" s="570"/>
      <c r="C73" s="570"/>
      <c r="D73" s="570"/>
      <c r="E73" s="570"/>
      <c r="F73" s="570"/>
      <c r="G73" s="570"/>
      <c r="H73" s="570"/>
    </row>
  </sheetData>
  <sheetProtection formatCells="0"/>
  <mergeCells count="8">
    <mergeCell ref="A1:R1"/>
    <mergeCell ref="A2:R2"/>
    <mergeCell ref="A3:R3"/>
    <mergeCell ref="A73:H73"/>
    <mergeCell ref="B32:F32"/>
    <mergeCell ref="A5:R5"/>
    <mergeCell ref="A6:R6"/>
    <mergeCell ref="A51:Q51"/>
  </mergeCells>
  <phoneticPr fontId="0" type="noConversion"/>
  <printOptions horizontalCentered="1"/>
  <pageMargins left="0.75" right="0.75" top="1" bottom="1" header="0.5" footer="0.5"/>
  <pageSetup scale="3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2263"/>
  <sheetViews>
    <sheetView zoomScale="90" zoomScaleNormal="90" zoomScaleSheetLayoutView="100" zoomScalePageLayoutView="75" workbookViewId="0">
      <selection sqref="A1:XFD1048576"/>
    </sheetView>
  </sheetViews>
  <sheetFormatPr defaultColWidth="9.140625" defaultRowHeight="12.75"/>
  <cols>
    <col min="1" max="1" width="3.7109375" style="540" customWidth="1"/>
    <col min="2" max="2" width="3.5703125" style="541" customWidth="1"/>
    <col min="3" max="3" width="33.140625" style="193" customWidth="1"/>
    <col min="4" max="4" width="21.5703125" style="193" bestFit="1" customWidth="1"/>
    <col min="5" max="5" width="16.7109375" style="193" customWidth="1"/>
    <col min="6" max="6" width="14.7109375" style="193" customWidth="1"/>
    <col min="7" max="7" width="6.42578125" style="44" customWidth="1"/>
    <col min="8" max="8" width="16.42578125" style="44" customWidth="1"/>
    <col min="9" max="9" width="14.28515625" style="193" customWidth="1"/>
    <col min="10" max="16384" width="9.140625" style="193"/>
  </cols>
  <sheetData>
    <row r="1" spans="1:10" ht="12.95" customHeight="1">
      <c r="A1" s="563" t="s">
        <v>459</v>
      </c>
      <c r="B1" s="563"/>
      <c r="C1" s="563"/>
      <c r="D1" s="563"/>
      <c r="E1" s="563"/>
      <c r="F1" s="563"/>
      <c r="G1" s="563"/>
      <c r="H1" s="563"/>
      <c r="I1" s="563"/>
      <c r="J1" s="563"/>
    </row>
    <row r="2" spans="1:10" ht="12.95" customHeight="1">
      <c r="A2" s="563" t="s">
        <v>1038</v>
      </c>
      <c r="B2" s="563"/>
      <c r="C2" s="563"/>
      <c r="D2" s="563"/>
      <c r="E2" s="563"/>
      <c r="F2" s="563"/>
      <c r="G2" s="563"/>
      <c r="H2" s="563"/>
      <c r="I2" s="563"/>
      <c r="J2" s="563"/>
    </row>
    <row r="3" spans="1:10" ht="12.95" customHeight="1">
      <c r="A3" s="563" t="str">
        <f>'Title Page'!A10</f>
        <v>FOR THE TWELVE MONTHS ENDED DECEMBER 31, 2023</v>
      </c>
      <c r="B3" s="563"/>
      <c r="C3" s="563"/>
      <c r="D3" s="563"/>
      <c r="E3" s="563"/>
      <c r="F3" s="563"/>
      <c r="G3" s="563"/>
      <c r="H3" s="563"/>
      <c r="I3" s="563"/>
      <c r="J3" s="563"/>
    </row>
    <row r="4" spans="1:10" ht="12.95" customHeight="1">
      <c r="B4" s="540"/>
      <c r="C4" s="540"/>
      <c r="D4" s="540"/>
      <c r="E4" s="540"/>
      <c r="F4" s="540"/>
      <c r="G4" s="540"/>
      <c r="H4" s="540"/>
      <c r="I4" s="540"/>
      <c r="J4" s="540"/>
    </row>
    <row r="5" spans="1:10">
      <c r="A5" s="564" t="s">
        <v>422</v>
      </c>
      <c r="B5" s="564"/>
      <c r="C5" s="564"/>
      <c r="D5" s="564"/>
      <c r="E5" s="564"/>
      <c r="F5" s="564"/>
      <c r="G5" s="564"/>
      <c r="H5" s="564"/>
      <c r="I5" s="564"/>
      <c r="J5" s="564"/>
    </row>
    <row r="6" spans="1:10" ht="15.75" customHeight="1">
      <c r="A6" s="564" t="s">
        <v>44</v>
      </c>
      <c r="B6" s="564"/>
      <c r="C6" s="564"/>
      <c r="D6" s="564"/>
      <c r="E6" s="564"/>
      <c r="F6" s="564"/>
      <c r="G6" s="564"/>
      <c r="H6" s="564"/>
      <c r="I6" s="564"/>
      <c r="J6" s="564"/>
    </row>
    <row r="7" spans="1:10">
      <c r="C7" s="264"/>
      <c r="D7" s="264"/>
      <c r="E7" s="264"/>
      <c r="G7" s="193"/>
      <c r="H7" s="421"/>
    </row>
    <row r="8" spans="1:10">
      <c r="C8" s="264"/>
      <c r="D8" s="264"/>
      <c r="E8" s="264"/>
      <c r="G8" s="193"/>
      <c r="H8" s="421"/>
    </row>
    <row r="9" spans="1:10">
      <c r="G9" s="193"/>
      <c r="H9" s="421"/>
    </row>
    <row r="10" spans="1:10">
      <c r="A10" s="540">
        <v>1</v>
      </c>
      <c r="B10" s="541" t="s">
        <v>397</v>
      </c>
      <c r="C10" s="264" t="s">
        <v>426</v>
      </c>
      <c r="D10" s="264"/>
      <c r="G10" s="193"/>
      <c r="H10" s="421"/>
    </row>
    <row r="11" spans="1:10">
      <c r="A11" s="540">
        <f>A10+1</f>
        <v>2</v>
      </c>
      <c r="E11" s="468" t="s">
        <v>347</v>
      </c>
      <c r="F11" s="468"/>
      <c r="G11" s="193"/>
      <c r="H11" s="469" t="s">
        <v>379</v>
      </c>
      <c r="I11" s="468"/>
    </row>
    <row r="12" spans="1:10">
      <c r="A12" s="540">
        <f t="shared" ref="A12:A46" si="0">A11+1</f>
        <v>3</v>
      </c>
      <c r="D12" s="193" t="s">
        <v>192</v>
      </c>
      <c r="E12" s="258" t="s">
        <v>193</v>
      </c>
      <c r="F12" s="258" t="s">
        <v>348</v>
      </c>
      <c r="G12" s="540"/>
      <c r="H12" s="470" t="s">
        <v>349</v>
      </c>
      <c r="I12" s="258" t="s">
        <v>350</v>
      </c>
    </row>
    <row r="13" spans="1:10">
      <c r="A13" s="540">
        <f t="shared" si="0"/>
        <v>4</v>
      </c>
      <c r="E13" s="334"/>
      <c r="F13" s="334"/>
      <c r="G13" s="334"/>
      <c r="H13" s="471"/>
      <c r="I13" s="334"/>
    </row>
    <row r="14" spans="1:10">
      <c r="A14" s="540">
        <f t="shared" si="0"/>
        <v>5</v>
      </c>
      <c r="E14" s="334"/>
      <c r="F14" s="106"/>
      <c r="G14" s="106"/>
      <c r="H14" s="106"/>
      <c r="I14" s="106"/>
    </row>
    <row r="15" spans="1:10">
      <c r="A15" s="540">
        <f t="shared" si="0"/>
        <v>6</v>
      </c>
      <c r="C15" s="193" t="s">
        <v>1077</v>
      </c>
      <c r="D15" s="193" t="s">
        <v>91</v>
      </c>
      <c r="E15" s="472">
        <f>'Schedule 6 Workpaper page 1'!G45*1000</f>
        <v>2811100000</v>
      </c>
      <c r="F15" s="107">
        <f>E15/E21</f>
        <v>0.5025859792576296</v>
      </c>
      <c r="G15" s="107"/>
      <c r="H15" s="107">
        <f>'Schedule 6 Workpaper page 1'!O45</f>
        <v>4.8660226710818225E-2</v>
      </c>
      <c r="I15" s="107">
        <f>H15*F15</f>
        <v>2.4455947692354842E-2</v>
      </c>
      <c r="J15" s="193" t="s">
        <v>1065</v>
      </c>
    </row>
    <row r="16" spans="1:10">
      <c r="A16" s="540">
        <f t="shared" si="0"/>
        <v>7</v>
      </c>
      <c r="E16" s="472"/>
      <c r="F16" s="107"/>
      <c r="G16" s="107"/>
      <c r="H16" s="107"/>
      <c r="I16" s="107"/>
    </row>
    <row r="17" spans="1:9">
      <c r="A17" s="540">
        <f t="shared" si="0"/>
        <v>8</v>
      </c>
      <c r="C17" s="193" t="s">
        <v>351</v>
      </c>
      <c r="D17" s="193" t="s">
        <v>1080</v>
      </c>
      <c r="E17" s="472">
        <v>0</v>
      </c>
      <c r="F17" s="107">
        <f>E17/E21</f>
        <v>0</v>
      </c>
      <c r="G17" s="107"/>
      <c r="H17" s="107">
        <v>0</v>
      </c>
      <c r="I17" s="107">
        <f>H17*F17</f>
        <v>0</v>
      </c>
    </row>
    <row r="18" spans="1:9">
      <c r="A18" s="540">
        <f t="shared" si="0"/>
        <v>9</v>
      </c>
      <c r="E18" s="472"/>
      <c r="F18" s="107"/>
      <c r="G18" s="107"/>
      <c r="H18" s="107"/>
      <c r="I18" s="107"/>
    </row>
    <row r="19" spans="1:9">
      <c r="A19" s="540">
        <f t="shared" si="0"/>
        <v>10</v>
      </c>
      <c r="C19" s="193" t="s">
        <v>352</v>
      </c>
      <c r="D19" s="193" t="s">
        <v>1081</v>
      </c>
      <c r="E19" s="473">
        <v>2782171830.1300001</v>
      </c>
      <c r="F19" s="108">
        <f>E19/E21</f>
        <v>0.49741402074237046</v>
      </c>
      <c r="G19" s="108"/>
      <c r="H19" s="107">
        <v>0.107</v>
      </c>
      <c r="I19" s="108">
        <f>H19*F19</f>
        <v>5.3223300219433639E-2</v>
      </c>
    </row>
    <row r="20" spans="1:9">
      <c r="A20" s="540">
        <f t="shared" si="0"/>
        <v>11</v>
      </c>
      <c r="E20" s="472"/>
      <c r="F20" s="108"/>
      <c r="G20" s="108"/>
      <c r="H20" s="107"/>
      <c r="I20" s="108"/>
    </row>
    <row r="21" spans="1:9">
      <c r="A21" s="540">
        <f t="shared" si="0"/>
        <v>12</v>
      </c>
      <c r="C21" s="193" t="s">
        <v>353</v>
      </c>
      <c r="E21" s="472">
        <f>SUM(E15:E19)</f>
        <v>5593271830.1300001</v>
      </c>
      <c r="F21" s="107">
        <f>SUM(F15:F19)</f>
        <v>1</v>
      </c>
      <c r="G21" s="107"/>
      <c r="H21" s="107"/>
      <c r="I21" s="107">
        <f>SUM(I15:I19)</f>
        <v>7.7679247911788485E-2</v>
      </c>
    </row>
    <row r="22" spans="1:9">
      <c r="A22" s="540">
        <f t="shared" si="0"/>
        <v>13</v>
      </c>
      <c r="E22" s="472"/>
      <c r="F22" s="474"/>
      <c r="G22" s="474"/>
      <c r="H22" s="421"/>
      <c r="I22" s="475"/>
    </row>
    <row r="23" spans="1:9">
      <c r="A23" s="540">
        <f t="shared" si="0"/>
        <v>14</v>
      </c>
      <c r="G23" s="193"/>
      <c r="H23" s="421"/>
    </row>
    <row r="24" spans="1:9" ht="12.75" customHeight="1">
      <c r="A24" s="540">
        <f t="shared" si="0"/>
        <v>15</v>
      </c>
      <c r="E24" s="476" t="s">
        <v>344</v>
      </c>
      <c r="G24" s="193"/>
      <c r="H24" s="477" t="s">
        <v>346</v>
      </c>
      <c r="I24" s="105">
        <f>I21</f>
        <v>7.7679247911788485E-2</v>
      </c>
    </row>
    <row r="25" spans="1:9" ht="12.75" customHeight="1">
      <c r="A25" s="540">
        <f t="shared" si="0"/>
        <v>16</v>
      </c>
      <c r="E25" s="476"/>
      <c r="G25" s="193"/>
      <c r="H25" s="477"/>
      <c r="I25" s="109"/>
    </row>
    <row r="26" spans="1:9" ht="12.75" customHeight="1">
      <c r="A26" s="540">
        <f t="shared" si="0"/>
        <v>17</v>
      </c>
      <c r="E26" s="476"/>
      <c r="G26" s="193"/>
      <c r="H26" s="478"/>
      <c r="I26" s="475"/>
    </row>
    <row r="27" spans="1:9" ht="12.75" customHeight="1">
      <c r="A27" s="540">
        <f t="shared" si="0"/>
        <v>18</v>
      </c>
      <c r="B27" s="541" t="s">
        <v>398</v>
      </c>
      <c r="C27" s="264" t="s">
        <v>423</v>
      </c>
      <c r="D27" s="264"/>
      <c r="E27" s="264"/>
      <c r="G27" s="421"/>
      <c r="H27" s="478"/>
      <c r="I27" s="475"/>
    </row>
    <row r="28" spans="1:9" ht="12.75" customHeight="1">
      <c r="A28" s="540">
        <f t="shared" si="0"/>
        <v>19</v>
      </c>
      <c r="C28" s="193" t="s">
        <v>424</v>
      </c>
      <c r="E28" s="479">
        <v>0.21</v>
      </c>
      <c r="G28" s="193"/>
      <c r="H28" s="478"/>
      <c r="I28" s="475"/>
    </row>
    <row r="29" spans="1:9" ht="12.75" customHeight="1">
      <c r="A29" s="540">
        <f t="shared" si="0"/>
        <v>20</v>
      </c>
      <c r="C29" s="193" t="s">
        <v>425</v>
      </c>
      <c r="E29" s="479">
        <f>'Schedule 6 Workpaper page 2'!F13</f>
        <v>6.0000000000000005E-2</v>
      </c>
      <c r="F29" s="193" t="s">
        <v>99</v>
      </c>
      <c r="G29" s="193"/>
      <c r="H29" s="478"/>
      <c r="I29" s="475"/>
    </row>
    <row r="30" spans="1:9" ht="12.75" customHeight="1">
      <c r="A30" s="540">
        <f t="shared" si="0"/>
        <v>21</v>
      </c>
      <c r="G30" s="421"/>
      <c r="H30" s="478"/>
      <c r="I30" s="475"/>
    </row>
    <row r="31" spans="1:9">
      <c r="A31" s="540">
        <f t="shared" si="0"/>
        <v>22</v>
      </c>
      <c r="C31" s="295" t="s">
        <v>427</v>
      </c>
      <c r="D31" s="295"/>
      <c r="G31" s="421"/>
      <c r="H31" s="480"/>
      <c r="I31" s="481"/>
    </row>
    <row r="32" spans="1:9">
      <c r="A32" s="540">
        <f t="shared" si="0"/>
        <v>23</v>
      </c>
      <c r="C32" s="193" t="s">
        <v>975</v>
      </c>
      <c r="G32" s="421"/>
      <c r="H32" s="33"/>
      <c r="I32" s="109">
        <f>ROUND((((($I$24-$I$15) +((E42 + E43)/'Rate Calculation'!$E$28))*$E$28)/(1-$E$28)),5)</f>
        <v>1.332E-2</v>
      </c>
    </row>
    <row r="33" spans="1:9">
      <c r="A33" s="540">
        <f t="shared" si="0"/>
        <v>24</v>
      </c>
      <c r="G33" s="421"/>
      <c r="H33" s="33"/>
      <c r="I33" s="109"/>
    </row>
    <row r="34" spans="1:9">
      <c r="A34" s="540">
        <f t="shared" si="0"/>
        <v>25</v>
      </c>
      <c r="C34" s="295" t="s">
        <v>428</v>
      </c>
      <c r="D34" s="295"/>
      <c r="G34" s="421"/>
      <c r="H34" s="33"/>
      <c r="I34" s="109"/>
    </row>
    <row r="35" spans="1:9">
      <c r="A35" s="540">
        <f t="shared" si="0"/>
        <v>26</v>
      </c>
      <c r="C35" s="193" t="s">
        <v>974</v>
      </c>
      <c r="G35" s="421"/>
      <c r="H35" s="33"/>
      <c r="I35" s="109">
        <f>ROUND(((($I$24-$I$15)+((E42 + E43) / 'Rate Calculation'!$E$28) + $I$32)*$E$29)/(1-$E$29),5)</f>
        <v>4.0499999999999998E-3</v>
      </c>
    </row>
    <row r="36" spans="1:9">
      <c r="A36" s="540">
        <f t="shared" si="0"/>
        <v>27</v>
      </c>
      <c r="F36" s="263" t="s">
        <v>344</v>
      </c>
      <c r="G36" s="33"/>
      <c r="H36" s="33"/>
      <c r="I36" s="110" t="s">
        <v>344</v>
      </c>
    </row>
    <row r="37" spans="1:9">
      <c r="A37" s="540">
        <f t="shared" si="0"/>
        <v>28</v>
      </c>
      <c r="G37" s="33"/>
      <c r="H37" s="33"/>
      <c r="I37" s="109"/>
    </row>
    <row r="38" spans="1:9">
      <c r="A38" s="540">
        <f t="shared" si="0"/>
        <v>29</v>
      </c>
      <c r="F38" s="482" t="s">
        <v>429</v>
      </c>
      <c r="G38" s="43"/>
      <c r="H38" s="250"/>
      <c r="I38" s="111">
        <f>ROUND(SUM(I32:I35),5)</f>
        <v>1.737E-2</v>
      </c>
    </row>
    <row r="39" spans="1:9">
      <c r="A39" s="540">
        <f t="shared" si="0"/>
        <v>30</v>
      </c>
      <c r="F39" s="482"/>
      <c r="G39" s="43"/>
      <c r="H39" s="250"/>
      <c r="I39" s="250"/>
    </row>
    <row r="40" spans="1:9">
      <c r="A40" s="540">
        <f t="shared" si="0"/>
        <v>31</v>
      </c>
      <c r="F40" s="482"/>
      <c r="G40" s="43"/>
      <c r="H40" s="250"/>
      <c r="I40" s="250"/>
    </row>
    <row r="41" spans="1:9">
      <c r="A41" s="540">
        <f t="shared" si="0"/>
        <v>32</v>
      </c>
      <c r="F41" s="250"/>
      <c r="G41" s="43"/>
      <c r="H41" s="33"/>
    </row>
    <row r="42" spans="1:9">
      <c r="A42" s="540">
        <f t="shared" si="0"/>
        <v>33</v>
      </c>
      <c r="C42" s="250" t="s">
        <v>430</v>
      </c>
      <c r="D42" s="250"/>
      <c r="E42" s="103">
        <f>'Schedule 6 Workpaper page 3'!G21</f>
        <v>148442</v>
      </c>
      <c r="F42" s="193" t="s">
        <v>100</v>
      </c>
      <c r="G42" s="43"/>
      <c r="H42" s="33"/>
    </row>
    <row r="43" spans="1:9">
      <c r="A43" s="540">
        <f t="shared" si="0"/>
        <v>34</v>
      </c>
      <c r="C43" s="250" t="s">
        <v>976</v>
      </c>
      <c r="D43" s="250"/>
      <c r="E43" s="472">
        <f>'Rate Calculation'!E40</f>
        <v>-3184217.9471913702</v>
      </c>
      <c r="F43" s="263" t="s">
        <v>206</v>
      </c>
      <c r="G43" s="43"/>
      <c r="H43" s="33"/>
    </row>
    <row r="44" spans="1:9">
      <c r="A44" s="540">
        <f t="shared" si="0"/>
        <v>35</v>
      </c>
      <c r="G44" s="43"/>
      <c r="H44" s="33"/>
    </row>
    <row r="45" spans="1:9" ht="29.25" customHeight="1">
      <c r="A45" s="540">
        <f t="shared" si="0"/>
        <v>36</v>
      </c>
      <c r="C45" s="576" t="s">
        <v>1078</v>
      </c>
      <c r="D45" s="576"/>
      <c r="E45" s="576"/>
      <c r="F45" s="576"/>
      <c r="G45" s="576"/>
      <c r="H45" s="576"/>
      <c r="I45" s="576"/>
    </row>
    <row r="46" spans="1:9">
      <c r="A46" s="540">
        <f t="shared" si="0"/>
        <v>37</v>
      </c>
      <c r="C46" s="193" t="s">
        <v>1079</v>
      </c>
      <c r="G46" s="33"/>
      <c r="H46" s="33"/>
    </row>
    <row r="47" spans="1:9">
      <c r="E47" s="421"/>
      <c r="G47" s="33"/>
      <c r="H47" s="33"/>
    </row>
    <row r="48" spans="1:9">
      <c r="G48" s="33"/>
      <c r="H48" s="33"/>
    </row>
    <row r="49" spans="3:8">
      <c r="G49" s="33"/>
      <c r="H49" s="33"/>
    </row>
    <row r="50" spans="3:8">
      <c r="G50" s="33"/>
      <c r="H50" s="33"/>
    </row>
    <row r="51" spans="3:8">
      <c r="C51" s="295"/>
      <c r="D51" s="295"/>
      <c r="G51" s="33"/>
      <c r="H51" s="33"/>
    </row>
    <row r="52" spans="3:8">
      <c r="G52" s="33"/>
      <c r="H52" s="33"/>
    </row>
    <row r="53" spans="3:8">
      <c r="G53" s="33"/>
      <c r="H53" s="33"/>
    </row>
    <row r="54" spans="3:8">
      <c r="G54" s="33"/>
      <c r="H54" s="33"/>
    </row>
    <row r="55" spans="3:8">
      <c r="C55" s="481"/>
      <c r="D55" s="481"/>
      <c r="G55" s="33"/>
      <c r="H55" s="33"/>
    </row>
    <row r="56" spans="3:8">
      <c r="C56" s="475"/>
      <c r="D56" s="475"/>
      <c r="G56" s="33"/>
      <c r="H56" s="33"/>
    </row>
    <row r="57" spans="3:8">
      <c r="C57" s="475"/>
      <c r="D57" s="475"/>
      <c r="G57" s="33"/>
      <c r="H57" s="33"/>
    </row>
    <row r="58" spans="3:8">
      <c r="G58" s="33"/>
      <c r="H58" s="33"/>
    </row>
    <row r="59" spans="3:8">
      <c r="G59" s="33"/>
      <c r="H59" s="33"/>
    </row>
    <row r="60" spans="3:8">
      <c r="G60" s="33"/>
      <c r="H60" s="33"/>
    </row>
    <row r="61" spans="3:8">
      <c r="G61" s="33"/>
      <c r="H61" s="33"/>
    </row>
    <row r="62" spans="3:8">
      <c r="G62" s="33"/>
      <c r="H62" s="33"/>
    </row>
    <row r="63" spans="3:8">
      <c r="G63" s="33"/>
      <c r="H63" s="33"/>
    </row>
    <row r="64" spans="3:8">
      <c r="G64" s="33"/>
      <c r="H64" s="33"/>
    </row>
    <row r="65" spans="7:8">
      <c r="G65" s="33"/>
      <c r="H65" s="33"/>
    </row>
    <row r="66" spans="7:8">
      <c r="G66" s="33"/>
      <c r="H66" s="33"/>
    </row>
    <row r="67" spans="7:8">
      <c r="G67" s="33"/>
      <c r="H67" s="33"/>
    </row>
    <row r="68" spans="7:8">
      <c r="G68" s="33"/>
      <c r="H68" s="33"/>
    </row>
    <row r="69" spans="7:8">
      <c r="G69" s="33"/>
      <c r="H69" s="33"/>
    </row>
    <row r="70" spans="7:8">
      <c r="G70" s="33"/>
      <c r="H70" s="33"/>
    </row>
    <row r="71" spans="7:8">
      <c r="G71" s="33"/>
      <c r="H71" s="33"/>
    </row>
    <row r="72" spans="7:8">
      <c r="G72" s="33"/>
      <c r="H72" s="33"/>
    </row>
    <row r="73" spans="7:8">
      <c r="G73" s="33"/>
      <c r="H73" s="33"/>
    </row>
    <row r="74" spans="7:8">
      <c r="G74" s="33"/>
      <c r="H74" s="33"/>
    </row>
    <row r="75" spans="7:8">
      <c r="G75" s="33"/>
      <c r="H75" s="33"/>
    </row>
    <row r="76" spans="7:8">
      <c r="G76" s="33"/>
      <c r="H76" s="33"/>
    </row>
    <row r="77" spans="7:8">
      <c r="G77" s="33"/>
      <c r="H77" s="33"/>
    </row>
    <row r="78" spans="7:8">
      <c r="G78" s="33"/>
      <c r="H78" s="33"/>
    </row>
    <row r="79" spans="7:8">
      <c r="G79" s="33"/>
      <c r="H79" s="33"/>
    </row>
    <row r="80" spans="7:8">
      <c r="G80" s="33"/>
      <c r="H80" s="33"/>
    </row>
    <row r="81" spans="7:8">
      <c r="G81" s="33"/>
      <c r="H81" s="33"/>
    </row>
    <row r="82" spans="7:8">
      <c r="G82" s="33"/>
      <c r="H82" s="33"/>
    </row>
    <row r="83" spans="7:8">
      <c r="G83" s="33"/>
      <c r="H83" s="33"/>
    </row>
    <row r="84" spans="7:8">
      <c r="G84" s="33"/>
      <c r="H84" s="33"/>
    </row>
    <row r="85" spans="7:8">
      <c r="G85" s="33"/>
      <c r="H85" s="33"/>
    </row>
    <row r="86" spans="7:8">
      <c r="G86" s="33"/>
      <c r="H86" s="33"/>
    </row>
    <row r="87" spans="7:8">
      <c r="G87" s="33"/>
      <c r="H87" s="33"/>
    </row>
    <row r="88" spans="7:8">
      <c r="G88" s="33"/>
      <c r="H88" s="33"/>
    </row>
    <row r="89" spans="7:8">
      <c r="G89" s="33"/>
      <c r="H89" s="33"/>
    </row>
    <row r="90" spans="7:8">
      <c r="G90" s="33"/>
      <c r="H90" s="33"/>
    </row>
    <row r="91" spans="7:8">
      <c r="G91" s="33"/>
      <c r="H91" s="33"/>
    </row>
    <row r="92" spans="7:8">
      <c r="G92" s="33"/>
      <c r="H92" s="33"/>
    </row>
    <row r="93" spans="7:8">
      <c r="G93" s="33"/>
      <c r="H93" s="33"/>
    </row>
    <row r="94" spans="7:8">
      <c r="G94" s="33"/>
      <c r="H94" s="33"/>
    </row>
    <row r="95" spans="7:8">
      <c r="G95" s="33"/>
      <c r="H95" s="33"/>
    </row>
    <row r="96" spans="7:8">
      <c r="G96" s="33"/>
      <c r="H96" s="33"/>
    </row>
    <row r="97" spans="7:8">
      <c r="G97" s="33"/>
      <c r="H97" s="33"/>
    </row>
    <row r="98" spans="7:8">
      <c r="G98" s="33"/>
      <c r="H98" s="33"/>
    </row>
    <row r="99" spans="7:8">
      <c r="G99" s="33"/>
      <c r="H99" s="33"/>
    </row>
    <row r="100" spans="7:8">
      <c r="G100" s="33"/>
      <c r="H100" s="33"/>
    </row>
    <row r="101" spans="7:8">
      <c r="G101" s="33"/>
      <c r="H101" s="33"/>
    </row>
    <row r="102" spans="7:8">
      <c r="G102" s="33"/>
      <c r="H102" s="33"/>
    </row>
    <row r="103" spans="7:8">
      <c r="G103" s="33"/>
      <c r="H103" s="33"/>
    </row>
    <row r="104" spans="7:8">
      <c r="G104" s="33"/>
      <c r="H104" s="33"/>
    </row>
    <row r="105" spans="7:8">
      <c r="G105" s="33"/>
      <c r="H105" s="33"/>
    </row>
    <row r="106" spans="7:8">
      <c r="G106" s="33"/>
      <c r="H106" s="33"/>
    </row>
    <row r="107" spans="7:8">
      <c r="G107" s="33"/>
      <c r="H107" s="33"/>
    </row>
    <row r="108" spans="7:8">
      <c r="G108" s="33"/>
      <c r="H108" s="33"/>
    </row>
    <row r="109" spans="7:8">
      <c r="G109" s="33"/>
      <c r="H109" s="33"/>
    </row>
    <row r="110" spans="7:8">
      <c r="G110" s="33"/>
      <c r="H110" s="33"/>
    </row>
    <row r="111" spans="7:8">
      <c r="G111" s="33"/>
      <c r="H111" s="33"/>
    </row>
    <row r="112" spans="7:8">
      <c r="G112" s="33"/>
      <c r="H112" s="33"/>
    </row>
    <row r="113" spans="7:8">
      <c r="G113" s="33"/>
      <c r="H113" s="33"/>
    </row>
    <row r="114" spans="7:8">
      <c r="G114" s="33"/>
      <c r="H114" s="33"/>
    </row>
    <row r="115" spans="7:8">
      <c r="G115" s="33"/>
      <c r="H115" s="33"/>
    </row>
    <row r="116" spans="7:8">
      <c r="G116" s="33"/>
      <c r="H116" s="33"/>
    </row>
    <row r="117" spans="7:8">
      <c r="G117" s="33"/>
      <c r="H117" s="33"/>
    </row>
    <row r="118" spans="7:8">
      <c r="G118" s="33"/>
      <c r="H118" s="33"/>
    </row>
    <row r="119" spans="7:8">
      <c r="G119" s="33"/>
      <c r="H119" s="33"/>
    </row>
    <row r="120" spans="7:8">
      <c r="G120" s="33"/>
      <c r="H120" s="33"/>
    </row>
    <row r="121" spans="7:8">
      <c r="G121" s="33"/>
      <c r="H121" s="33"/>
    </row>
    <row r="122" spans="7:8">
      <c r="G122" s="33"/>
      <c r="H122" s="33"/>
    </row>
    <row r="123" spans="7:8">
      <c r="G123" s="33"/>
      <c r="H123" s="33"/>
    </row>
    <row r="124" spans="7:8">
      <c r="G124" s="33"/>
      <c r="H124" s="33"/>
    </row>
    <row r="125" spans="7:8">
      <c r="G125" s="33"/>
      <c r="H125" s="33"/>
    </row>
    <row r="126" spans="7:8">
      <c r="G126" s="33"/>
      <c r="H126" s="33"/>
    </row>
    <row r="127" spans="7:8">
      <c r="G127" s="33"/>
      <c r="H127" s="33"/>
    </row>
    <row r="128" spans="7:8">
      <c r="G128" s="33"/>
      <c r="H128" s="33"/>
    </row>
    <row r="129" spans="7:8">
      <c r="G129" s="33"/>
      <c r="H129" s="33"/>
    </row>
    <row r="130" spans="7:8">
      <c r="G130" s="33"/>
      <c r="H130" s="33"/>
    </row>
    <row r="131" spans="7:8">
      <c r="G131" s="33"/>
      <c r="H131" s="33"/>
    </row>
    <row r="132" spans="7:8">
      <c r="G132" s="33"/>
      <c r="H132" s="33"/>
    </row>
    <row r="133" spans="7:8">
      <c r="G133" s="33"/>
      <c r="H133" s="33"/>
    </row>
    <row r="134" spans="7:8">
      <c r="G134" s="33"/>
      <c r="H134" s="33"/>
    </row>
    <row r="135" spans="7:8">
      <c r="G135" s="33"/>
      <c r="H135" s="33"/>
    </row>
    <row r="136" spans="7:8">
      <c r="G136" s="33"/>
      <c r="H136" s="33"/>
    </row>
    <row r="137" spans="7:8">
      <c r="G137" s="33"/>
      <c r="H137" s="33"/>
    </row>
    <row r="138" spans="7:8">
      <c r="G138" s="33"/>
      <c r="H138" s="33"/>
    </row>
    <row r="139" spans="7:8">
      <c r="G139" s="33"/>
      <c r="H139" s="33"/>
    </row>
    <row r="140" spans="7:8">
      <c r="G140" s="33"/>
      <c r="H140" s="33"/>
    </row>
    <row r="141" spans="7:8">
      <c r="G141" s="33"/>
      <c r="H141" s="33"/>
    </row>
    <row r="142" spans="7:8">
      <c r="G142" s="33"/>
      <c r="H142" s="33"/>
    </row>
    <row r="143" spans="7:8">
      <c r="G143" s="33"/>
      <c r="H143" s="33"/>
    </row>
    <row r="144" spans="7:8">
      <c r="G144" s="33"/>
      <c r="H144" s="33"/>
    </row>
    <row r="145" spans="7:8">
      <c r="G145" s="33"/>
      <c r="H145" s="33"/>
    </row>
    <row r="146" spans="7:8">
      <c r="G146" s="33"/>
      <c r="H146" s="33"/>
    </row>
    <row r="147" spans="7:8">
      <c r="G147" s="33"/>
      <c r="H147" s="33"/>
    </row>
    <row r="148" spans="7:8">
      <c r="G148" s="33"/>
      <c r="H148" s="33"/>
    </row>
    <row r="149" spans="7:8">
      <c r="G149" s="33"/>
      <c r="H149" s="33"/>
    </row>
    <row r="150" spans="7:8">
      <c r="G150" s="33"/>
      <c r="H150" s="33"/>
    </row>
    <row r="151" spans="7:8">
      <c r="G151" s="33"/>
      <c r="H151" s="33"/>
    </row>
    <row r="152" spans="7:8">
      <c r="G152" s="33"/>
      <c r="H152" s="33"/>
    </row>
    <row r="153" spans="7:8">
      <c r="G153" s="33"/>
      <c r="H153" s="33"/>
    </row>
    <row r="154" spans="7:8">
      <c r="G154" s="33"/>
      <c r="H154" s="33"/>
    </row>
    <row r="155" spans="7:8">
      <c r="G155" s="33"/>
      <c r="H155" s="33"/>
    </row>
    <row r="156" spans="7:8">
      <c r="G156" s="33"/>
      <c r="H156" s="33"/>
    </row>
    <row r="157" spans="7:8">
      <c r="G157" s="33"/>
      <c r="H157" s="33"/>
    </row>
    <row r="158" spans="7:8">
      <c r="G158" s="33"/>
      <c r="H158" s="33"/>
    </row>
    <row r="159" spans="7:8">
      <c r="G159" s="33"/>
      <c r="H159" s="33"/>
    </row>
    <row r="160" spans="7:8">
      <c r="G160" s="33"/>
      <c r="H160" s="33"/>
    </row>
    <row r="161" spans="7:8">
      <c r="G161" s="33"/>
      <c r="H161" s="33"/>
    </row>
    <row r="162" spans="7:8">
      <c r="G162" s="33"/>
      <c r="H162" s="33"/>
    </row>
    <row r="163" spans="7:8">
      <c r="G163" s="33"/>
      <c r="H163" s="33"/>
    </row>
    <row r="164" spans="7:8">
      <c r="G164" s="33"/>
      <c r="H164" s="33"/>
    </row>
    <row r="165" spans="7:8">
      <c r="G165" s="33"/>
      <c r="H165" s="33"/>
    </row>
    <row r="166" spans="7:8">
      <c r="G166" s="33"/>
      <c r="H166" s="33"/>
    </row>
    <row r="167" spans="7:8">
      <c r="G167" s="33"/>
      <c r="H167" s="33"/>
    </row>
    <row r="168" spans="7:8">
      <c r="G168" s="33"/>
      <c r="H168" s="33"/>
    </row>
    <row r="169" spans="7:8">
      <c r="G169" s="33"/>
      <c r="H169" s="33"/>
    </row>
    <row r="170" spans="7:8">
      <c r="G170" s="33"/>
      <c r="H170" s="33"/>
    </row>
    <row r="171" spans="7:8">
      <c r="G171" s="33"/>
      <c r="H171" s="33"/>
    </row>
    <row r="172" spans="7:8">
      <c r="G172" s="33"/>
      <c r="H172" s="33"/>
    </row>
    <row r="173" spans="7:8">
      <c r="G173" s="33"/>
      <c r="H173" s="33"/>
    </row>
    <row r="174" spans="7:8">
      <c r="G174" s="33"/>
      <c r="H174" s="33"/>
    </row>
    <row r="175" spans="7:8">
      <c r="G175" s="33"/>
      <c r="H175" s="33"/>
    </row>
    <row r="176" spans="7:8">
      <c r="G176" s="33"/>
      <c r="H176" s="33"/>
    </row>
    <row r="177" spans="7:8">
      <c r="G177" s="33"/>
      <c r="H177" s="33"/>
    </row>
    <row r="178" spans="7:8">
      <c r="G178" s="33"/>
      <c r="H178" s="33"/>
    </row>
    <row r="179" spans="7:8">
      <c r="G179" s="33"/>
      <c r="H179" s="33"/>
    </row>
    <row r="180" spans="7:8">
      <c r="G180" s="33"/>
      <c r="H180" s="33"/>
    </row>
    <row r="181" spans="7:8">
      <c r="G181" s="33"/>
      <c r="H181" s="33"/>
    </row>
    <row r="182" spans="7:8">
      <c r="G182" s="33"/>
      <c r="H182" s="33"/>
    </row>
    <row r="183" spans="7:8">
      <c r="G183" s="33"/>
      <c r="H183" s="33"/>
    </row>
    <row r="184" spans="7:8">
      <c r="G184" s="33"/>
      <c r="H184" s="33"/>
    </row>
    <row r="185" spans="7:8">
      <c r="G185" s="33"/>
      <c r="H185" s="33"/>
    </row>
    <row r="186" spans="7:8">
      <c r="G186" s="33"/>
      <c r="H186" s="33"/>
    </row>
    <row r="187" spans="7:8">
      <c r="G187" s="33"/>
      <c r="H187" s="33"/>
    </row>
    <row r="188" spans="7:8">
      <c r="G188" s="33"/>
      <c r="H188" s="33"/>
    </row>
    <row r="189" spans="7:8">
      <c r="G189" s="33"/>
      <c r="H189" s="33"/>
    </row>
    <row r="190" spans="7:8">
      <c r="G190" s="33"/>
      <c r="H190" s="33"/>
    </row>
    <row r="191" spans="7:8">
      <c r="G191" s="33"/>
      <c r="H191" s="33"/>
    </row>
    <row r="192" spans="7:8">
      <c r="G192" s="33"/>
      <c r="H192" s="33"/>
    </row>
    <row r="193" spans="7:8">
      <c r="G193" s="33"/>
      <c r="H193" s="33"/>
    </row>
    <row r="194" spans="7:8">
      <c r="G194" s="33"/>
      <c r="H194" s="33"/>
    </row>
    <row r="195" spans="7:8">
      <c r="G195" s="33"/>
      <c r="H195" s="33"/>
    </row>
    <row r="196" spans="7:8">
      <c r="G196" s="33"/>
      <c r="H196" s="33"/>
    </row>
    <row r="197" spans="7:8">
      <c r="G197" s="33"/>
      <c r="H197" s="33"/>
    </row>
    <row r="198" spans="7:8">
      <c r="G198" s="33"/>
      <c r="H198" s="33"/>
    </row>
    <row r="199" spans="7:8">
      <c r="G199" s="33"/>
      <c r="H199" s="33"/>
    </row>
    <row r="200" spans="7:8">
      <c r="G200" s="33"/>
      <c r="H200" s="33"/>
    </row>
    <row r="201" spans="7:8">
      <c r="G201" s="33"/>
      <c r="H201" s="33"/>
    </row>
    <row r="202" spans="7:8">
      <c r="G202" s="33"/>
      <c r="H202" s="33"/>
    </row>
    <row r="203" spans="7:8">
      <c r="G203" s="33"/>
      <c r="H203" s="33"/>
    </row>
    <row r="204" spans="7:8">
      <c r="G204" s="33"/>
      <c r="H204" s="33"/>
    </row>
    <row r="205" spans="7:8">
      <c r="G205" s="33"/>
      <c r="H205" s="33"/>
    </row>
    <row r="206" spans="7:8">
      <c r="G206" s="33"/>
      <c r="H206" s="33"/>
    </row>
    <row r="207" spans="7:8">
      <c r="G207" s="33"/>
      <c r="H207" s="33"/>
    </row>
    <row r="208" spans="7:8">
      <c r="G208" s="33"/>
      <c r="H208" s="33"/>
    </row>
    <row r="209" spans="7:8">
      <c r="G209" s="33"/>
      <c r="H209" s="33"/>
    </row>
    <row r="210" spans="7:8">
      <c r="G210" s="33"/>
      <c r="H210" s="33"/>
    </row>
    <row r="211" spans="7:8">
      <c r="G211" s="33"/>
      <c r="H211" s="33"/>
    </row>
    <row r="212" spans="7:8">
      <c r="G212" s="33"/>
      <c r="H212" s="33"/>
    </row>
    <row r="213" spans="7:8">
      <c r="G213" s="33"/>
      <c r="H213" s="33"/>
    </row>
    <row r="214" spans="7:8">
      <c r="G214" s="33"/>
      <c r="H214" s="33"/>
    </row>
    <row r="215" spans="7:8">
      <c r="G215" s="33"/>
      <c r="H215" s="33"/>
    </row>
    <row r="216" spans="7:8">
      <c r="G216" s="33"/>
      <c r="H216" s="33"/>
    </row>
    <row r="217" spans="7:8">
      <c r="G217" s="33"/>
      <c r="H217" s="33"/>
    </row>
    <row r="218" spans="7:8">
      <c r="G218" s="33"/>
      <c r="H218" s="33"/>
    </row>
    <row r="219" spans="7:8">
      <c r="G219" s="33"/>
      <c r="H219" s="33"/>
    </row>
    <row r="220" spans="7:8">
      <c r="G220" s="33"/>
      <c r="H220" s="33"/>
    </row>
    <row r="221" spans="7:8">
      <c r="G221" s="33"/>
      <c r="H221" s="33"/>
    </row>
    <row r="222" spans="7:8">
      <c r="G222" s="33"/>
      <c r="H222" s="33"/>
    </row>
    <row r="223" spans="7:8">
      <c r="G223" s="33"/>
      <c r="H223" s="33"/>
    </row>
    <row r="224" spans="7:8">
      <c r="G224" s="33"/>
      <c r="H224" s="33"/>
    </row>
    <row r="225" spans="7:8">
      <c r="G225" s="33"/>
      <c r="H225" s="33"/>
    </row>
    <row r="226" spans="7:8">
      <c r="G226" s="33"/>
      <c r="H226" s="33"/>
    </row>
    <row r="227" spans="7:8">
      <c r="G227" s="33"/>
      <c r="H227" s="33"/>
    </row>
    <row r="228" spans="7:8">
      <c r="G228" s="33"/>
      <c r="H228" s="33"/>
    </row>
    <row r="229" spans="7:8">
      <c r="G229" s="33"/>
      <c r="H229" s="33"/>
    </row>
    <row r="230" spans="7:8">
      <c r="G230" s="33"/>
      <c r="H230" s="33"/>
    </row>
    <row r="231" spans="7:8">
      <c r="G231" s="33"/>
      <c r="H231" s="33"/>
    </row>
    <row r="232" spans="7:8">
      <c r="G232" s="33"/>
      <c r="H232" s="33"/>
    </row>
    <row r="233" spans="7:8">
      <c r="G233" s="33"/>
      <c r="H233" s="33"/>
    </row>
    <row r="234" spans="7:8">
      <c r="G234" s="33"/>
      <c r="H234" s="33"/>
    </row>
    <row r="235" spans="7:8">
      <c r="G235" s="33"/>
      <c r="H235" s="33"/>
    </row>
    <row r="236" spans="7:8">
      <c r="G236" s="33"/>
      <c r="H236" s="33"/>
    </row>
    <row r="237" spans="7:8">
      <c r="G237" s="33"/>
      <c r="H237" s="33"/>
    </row>
    <row r="238" spans="7:8">
      <c r="G238" s="33"/>
      <c r="H238" s="33"/>
    </row>
    <row r="239" spans="7:8">
      <c r="G239" s="33"/>
      <c r="H239" s="33"/>
    </row>
    <row r="240" spans="7:8">
      <c r="G240" s="33"/>
      <c r="H240" s="33"/>
    </row>
    <row r="241" spans="7:8">
      <c r="G241" s="33"/>
      <c r="H241" s="33"/>
    </row>
    <row r="242" spans="7:8">
      <c r="G242" s="33"/>
      <c r="H242" s="33"/>
    </row>
    <row r="243" spans="7:8">
      <c r="G243" s="33"/>
      <c r="H243" s="33"/>
    </row>
    <row r="244" spans="7:8">
      <c r="G244" s="33"/>
      <c r="H244" s="33"/>
    </row>
    <row r="245" spans="7:8">
      <c r="G245" s="33"/>
      <c r="H245" s="33"/>
    </row>
    <row r="246" spans="7:8">
      <c r="G246" s="33"/>
      <c r="H246" s="33"/>
    </row>
    <row r="247" spans="7:8">
      <c r="G247" s="33"/>
      <c r="H247" s="33"/>
    </row>
    <row r="248" spans="7:8">
      <c r="G248" s="33"/>
      <c r="H248" s="33"/>
    </row>
    <row r="249" spans="7:8">
      <c r="G249" s="33"/>
      <c r="H249" s="33"/>
    </row>
    <row r="250" spans="7:8">
      <c r="G250" s="33"/>
      <c r="H250" s="33"/>
    </row>
    <row r="251" spans="7:8">
      <c r="G251" s="33"/>
      <c r="H251" s="33"/>
    </row>
    <row r="252" spans="7:8">
      <c r="G252" s="33"/>
      <c r="H252" s="33"/>
    </row>
    <row r="253" spans="7:8">
      <c r="G253" s="33"/>
      <c r="H253" s="33"/>
    </row>
    <row r="254" spans="7:8">
      <c r="G254" s="33"/>
      <c r="H254" s="33"/>
    </row>
    <row r="255" spans="7:8">
      <c r="G255" s="33"/>
      <c r="H255" s="33"/>
    </row>
    <row r="256" spans="7:8">
      <c r="G256" s="33"/>
      <c r="H256" s="33"/>
    </row>
    <row r="257" spans="7:8">
      <c r="G257" s="33"/>
      <c r="H257" s="33"/>
    </row>
    <row r="258" spans="7:8">
      <c r="G258" s="33"/>
      <c r="H258" s="33"/>
    </row>
    <row r="259" spans="7:8">
      <c r="G259" s="33"/>
      <c r="H259" s="33"/>
    </row>
    <row r="260" spans="7:8">
      <c r="G260" s="33"/>
      <c r="H260" s="33"/>
    </row>
    <row r="261" spans="7:8">
      <c r="G261" s="33"/>
      <c r="H261" s="33"/>
    </row>
    <row r="262" spans="7:8">
      <c r="G262" s="33"/>
      <c r="H262" s="33"/>
    </row>
    <row r="263" spans="7:8">
      <c r="G263" s="33"/>
      <c r="H263" s="33"/>
    </row>
    <row r="264" spans="7:8">
      <c r="G264" s="33"/>
      <c r="H264" s="33"/>
    </row>
    <row r="265" spans="7:8">
      <c r="G265" s="33"/>
      <c r="H265" s="33"/>
    </row>
    <row r="266" spans="7:8">
      <c r="G266" s="33"/>
      <c r="H266" s="33"/>
    </row>
    <row r="267" spans="7:8">
      <c r="G267" s="33"/>
      <c r="H267" s="33"/>
    </row>
    <row r="268" spans="7:8">
      <c r="G268" s="33"/>
      <c r="H268" s="33"/>
    </row>
    <row r="269" spans="7:8">
      <c r="G269" s="33"/>
      <c r="H269" s="33"/>
    </row>
    <row r="270" spans="7:8">
      <c r="G270" s="33"/>
      <c r="H270" s="33"/>
    </row>
    <row r="271" spans="7:8">
      <c r="G271" s="33"/>
      <c r="H271" s="33"/>
    </row>
    <row r="272" spans="7:8">
      <c r="G272" s="33"/>
      <c r="H272" s="33"/>
    </row>
    <row r="273" spans="7:8">
      <c r="G273" s="33"/>
      <c r="H273" s="33"/>
    </row>
    <row r="274" spans="7:8">
      <c r="G274" s="33"/>
      <c r="H274" s="33"/>
    </row>
    <row r="275" spans="7:8">
      <c r="G275" s="33"/>
      <c r="H275" s="33"/>
    </row>
    <row r="276" spans="7:8">
      <c r="G276" s="33"/>
      <c r="H276" s="33"/>
    </row>
    <row r="277" spans="7:8">
      <c r="G277" s="33"/>
      <c r="H277" s="33"/>
    </row>
    <row r="278" spans="7:8">
      <c r="G278" s="33"/>
      <c r="H278" s="33"/>
    </row>
    <row r="279" spans="7:8">
      <c r="G279" s="33"/>
      <c r="H279" s="33"/>
    </row>
    <row r="280" spans="7:8">
      <c r="G280" s="33"/>
      <c r="H280" s="33"/>
    </row>
    <row r="281" spans="7:8">
      <c r="G281" s="33"/>
      <c r="H281" s="33"/>
    </row>
    <row r="282" spans="7:8">
      <c r="G282" s="33"/>
      <c r="H282" s="33"/>
    </row>
    <row r="283" spans="7:8">
      <c r="G283" s="33"/>
      <c r="H283" s="33"/>
    </row>
    <row r="284" spans="7:8">
      <c r="G284" s="33"/>
      <c r="H284" s="33"/>
    </row>
    <row r="285" spans="7:8">
      <c r="G285" s="33"/>
      <c r="H285" s="33"/>
    </row>
    <row r="286" spans="7:8">
      <c r="G286" s="33"/>
      <c r="H286" s="33"/>
    </row>
    <row r="287" spans="7:8">
      <c r="G287" s="33"/>
      <c r="H287" s="33"/>
    </row>
    <row r="288" spans="7:8">
      <c r="G288" s="33"/>
      <c r="H288" s="33"/>
    </row>
    <row r="289" spans="7:8">
      <c r="G289" s="33"/>
      <c r="H289" s="33"/>
    </row>
    <row r="290" spans="7:8">
      <c r="G290" s="33"/>
      <c r="H290" s="33"/>
    </row>
    <row r="291" spans="7:8">
      <c r="G291" s="33"/>
      <c r="H291" s="33"/>
    </row>
    <row r="292" spans="7:8">
      <c r="G292" s="33"/>
      <c r="H292" s="33"/>
    </row>
    <row r="293" spans="7:8">
      <c r="G293" s="33"/>
      <c r="H293" s="33"/>
    </row>
    <row r="294" spans="7:8">
      <c r="G294" s="33"/>
      <c r="H294" s="33"/>
    </row>
    <row r="295" spans="7:8">
      <c r="G295" s="33"/>
      <c r="H295" s="33"/>
    </row>
    <row r="296" spans="7:8">
      <c r="G296" s="33"/>
      <c r="H296" s="33"/>
    </row>
    <row r="297" spans="7:8">
      <c r="G297" s="33"/>
      <c r="H297" s="33"/>
    </row>
    <row r="298" spans="7:8">
      <c r="G298" s="33"/>
      <c r="H298" s="33"/>
    </row>
    <row r="299" spans="7:8">
      <c r="G299" s="33"/>
      <c r="H299" s="33"/>
    </row>
    <row r="300" spans="7:8">
      <c r="G300" s="33"/>
      <c r="H300" s="33"/>
    </row>
    <row r="301" spans="7:8">
      <c r="G301" s="33"/>
      <c r="H301" s="33"/>
    </row>
    <row r="302" spans="7:8">
      <c r="G302" s="33"/>
      <c r="H302" s="33"/>
    </row>
    <row r="303" spans="7:8">
      <c r="G303" s="33"/>
      <c r="H303" s="33"/>
    </row>
    <row r="304" spans="7:8">
      <c r="G304" s="33"/>
      <c r="H304" s="33"/>
    </row>
    <row r="305" spans="7:8">
      <c r="G305" s="33"/>
      <c r="H305" s="33"/>
    </row>
    <row r="306" spans="7:8">
      <c r="G306" s="33"/>
      <c r="H306" s="33"/>
    </row>
    <row r="307" spans="7:8">
      <c r="G307" s="33"/>
      <c r="H307" s="33"/>
    </row>
    <row r="308" spans="7:8">
      <c r="G308" s="33"/>
      <c r="H308" s="33"/>
    </row>
    <row r="309" spans="7:8">
      <c r="G309" s="33"/>
      <c r="H309" s="33"/>
    </row>
    <row r="310" spans="7:8">
      <c r="G310" s="33"/>
      <c r="H310" s="33"/>
    </row>
    <row r="311" spans="7:8">
      <c r="G311" s="33"/>
      <c r="H311" s="33"/>
    </row>
    <row r="312" spans="7:8">
      <c r="G312" s="33"/>
      <c r="H312" s="33"/>
    </row>
    <row r="313" spans="7:8">
      <c r="G313" s="33"/>
      <c r="H313" s="33"/>
    </row>
    <row r="314" spans="7:8">
      <c r="G314" s="33"/>
      <c r="H314" s="33"/>
    </row>
    <row r="315" spans="7:8">
      <c r="G315" s="33"/>
      <c r="H315" s="33"/>
    </row>
    <row r="316" spans="7:8">
      <c r="G316" s="33"/>
      <c r="H316" s="33"/>
    </row>
    <row r="317" spans="7:8">
      <c r="G317" s="33"/>
      <c r="H317" s="33"/>
    </row>
    <row r="318" spans="7:8">
      <c r="G318" s="33"/>
      <c r="H318" s="33"/>
    </row>
    <row r="319" spans="7:8">
      <c r="G319" s="33"/>
      <c r="H319" s="33"/>
    </row>
    <row r="320" spans="7:8">
      <c r="G320" s="33"/>
      <c r="H320" s="33"/>
    </row>
    <row r="321" spans="7:8">
      <c r="G321" s="33"/>
      <c r="H321" s="33"/>
    </row>
    <row r="322" spans="7:8">
      <c r="G322" s="33"/>
      <c r="H322" s="33"/>
    </row>
    <row r="323" spans="7:8">
      <c r="G323" s="33"/>
      <c r="H323" s="33"/>
    </row>
    <row r="324" spans="7:8">
      <c r="G324" s="33"/>
      <c r="H324" s="33"/>
    </row>
    <row r="325" spans="7:8">
      <c r="G325" s="33"/>
      <c r="H325" s="33"/>
    </row>
    <row r="326" spans="7:8">
      <c r="G326" s="33"/>
      <c r="H326" s="33"/>
    </row>
    <row r="327" spans="7:8">
      <c r="G327" s="33"/>
      <c r="H327" s="33"/>
    </row>
    <row r="328" spans="7:8">
      <c r="G328" s="33"/>
      <c r="H328" s="33"/>
    </row>
    <row r="329" spans="7:8">
      <c r="G329" s="33"/>
      <c r="H329" s="33"/>
    </row>
    <row r="330" spans="7:8">
      <c r="G330" s="33"/>
      <c r="H330" s="33"/>
    </row>
    <row r="331" spans="7:8">
      <c r="G331" s="33"/>
      <c r="H331" s="33"/>
    </row>
    <row r="332" spans="7:8">
      <c r="G332" s="33"/>
      <c r="H332" s="33"/>
    </row>
    <row r="333" spans="7:8">
      <c r="G333" s="33"/>
      <c r="H333" s="33"/>
    </row>
    <row r="334" spans="7:8">
      <c r="G334" s="33"/>
      <c r="H334" s="33"/>
    </row>
    <row r="335" spans="7:8">
      <c r="G335" s="33"/>
      <c r="H335" s="33"/>
    </row>
    <row r="336" spans="7:8">
      <c r="G336" s="33"/>
      <c r="H336" s="33"/>
    </row>
    <row r="337" spans="7:8">
      <c r="G337" s="33"/>
      <c r="H337" s="33"/>
    </row>
    <row r="338" spans="7:8">
      <c r="G338" s="33"/>
      <c r="H338" s="33"/>
    </row>
    <row r="339" spans="7:8">
      <c r="G339" s="33"/>
      <c r="H339" s="33"/>
    </row>
    <row r="340" spans="7:8">
      <c r="G340" s="33"/>
      <c r="H340" s="33"/>
    </row>
    <row r="341" spans="7:8">
      <c r="G341" s="33"/>
      <c r="H341" s="33"/>
    </row>
    <row r="342" spans="7:8">
      <c r="G342" s="33"/>
      <c r="H342" s="33"/>
    </row>
    <row r="343" spans="7:8">
      <c r="G343" s="33"/>
      <c r="H343" s="33"/>
    </row>
    <row r="344" spans="7:8">
      <c r="G344" s="33"/>
      <c r="H344" s="33"/>
    </row>
    <row r="345" spans="7:8">
      <c r="G345" s="33"/>
      <c r="H345" s="33"/>
    </row>
    <row r="346" spans="7:8">
      <c r="G346" s="33"/>
      <c r="H346" s="33"/>
    </row>
    <row r="347" spans="7:8">
      <c r="G347" s="33"/>
      <c r="H347" s="33"/>
    </row>
    <row r="348" spans="7:8">
      <c r="G348" s="33"/>
      <c r="H348" s="33"/>
    </row>
    <row r="349" spans="7:8">
      <c r="G349" s="33"/>
      <c r="H349" s="33"/>
    </row>
    <row r="350" spans="7:8">
      <c r="G350" s="33"/>
      <c r="H350" s="33"/>
    </row>
    <row r="351" spans="7:8">
      <c r="G351" s="33"/>
      <c r="H351" s="33"/>
    </row>
    <row r="352" spans="7:8">
      <c r="G352" s="33"/>
      <c r="H352" s="33"/>
    </row>
    <row r="353" spans="7:8">
      <c r="G353" s="33"/>
      <c r="H353" s="33"/>
    </row>
    <row r="354" spans="7:8">
      <c r="G354" s="33"/>
      <c r="H354" s="33"/>
    </row>
    <row r="355" spans="7:8">
      <c r="G355" s="33"/>
      <c r="H355" s="33"/>
    </row>
    <row r="356" spans="7:8">
      <c r="G356" s="33"/>
      <c r="H356" s="33"/>
    </row>
    <row r="357" spans="7:8">
      <c r="G357" s="33"/>
      <c r="H357" s="33"/>
    </row>
    <row r="358" spans="7:8">
      <c r="G358" s="33"/>
      <c r="H358" s="33"/>
    </row>
    <row r="359" spans="7:8">
      <c r="G359" s="33"/>
      <c r="H359" s="33"/>
    </row>
    <row r="360" spans="7:8">
      <c r="G360" s="33"/>
      <c r="H360" s="33"/>
    </row>
    <row r="361" spans="7:8">
      <c r="G361" s="33"/>
      <c r="H361" s="33"/>
    </row>
    <row r="362" spans="7:8">
      <c r="G362" s="33"/>
      <c r="H362" s="33"/>
    </row>
    <row r="363" spans="7:8">
      <c r="G363" s="33"/>
      <c r="H363" s="33"/>
    </row>
    <row r="364" spans="7:8">
      <c r="G364" s="33"/>
      <c r="H364" s="33"/>
    </row>
    <row r="365" spans="7:8">
      <c r="G365" s="33"/>
      <c r="H365" s="33"/>
    </row>
    <row r="366" spans="7:8">
      <c r="G366" s="33"/>
      <c r="H366" s="33"/>
    </row>
    <row r="367" spans="7:8">
      <c r="G367" s="33"/>
      <c r="H367" s="33"/>
    </row>
    <row r="368" spans="7:8">
      <c r="G368" s="33"/>
      <c r="H368" s="33"/>
    </row>
    <row r="369" spans="7:8">
      <c r="G369" s="33"/>
      <c r="H369" s="33"/>
    </row>
    <row r="370" spans="7:8">
      <c r="G370" s="33"/>
      <c r="H370" s="33"/>
    </row>
    <row r="371" spans="7:8">
      <c r="G371" s="33"/>
      <c r="H371" s="33"/>
    </row>
    <row r="372" spans="7:8">
      <c r="G372" s="33"/>
      <c r="H372" s="33"/>
    </row>
    <row r="373" spans="7:8">
      <c r="G373" s="33"/>
      <c r="H373" s="33"/>
    </row>
    <row r="374" spans="7:8">
      <c r="G374" s="33"/>
      <c r="H374" s="33"/>
    </row>
    <row r="375" spans="7:8">
      <c r="G375" s="33"/>
      <c r="H375" s="33"/>
    </row>
    <row r="376" spans="7:8">
      <c r="G376" s="33"/>
      <c r="H376" s="33"/>
    </row>
    <row r="377" spans="7:8">
      <c r="G377" s="33"/>
      <c r="H377" s="33"/>
    </row>
    <row r="378" spans="7:8">
      <c r="G378" s="33"/>
      <c r="H378" s="33"/>
    </row>
    <row r="379" spans="7:8">
      <c r="G379" s="33"/>
      <c r="H379" s="33"/>
    </row>
    <row r="380" spans="7:8">
      <c r="G380" s="33"/>
      <c r="H380" s="33"/>
    </row>
    <row r="381" spans="7:8">
      <c r="G381" s="33"/>
      <c r="H381" s="33"/>
    </row>
    <row r="382" spans="7:8">
      <c r="G382" s="33"/>
      <c r="H382" s="33"/>
    </row>
    <row r="383" spans="7:8">
      <c r="G383" s="33"/>
      <c r="H383" s="33"/>
    </row>
    <row r="384" spans="7:8">
      <c r="G384" s="33"/>
      <c r="H384" s="33"/>
    </row>
    <row r="385" spans="7:8">
      <c r="G385" s="33"/>
      <c r="H385" s="33"/>
    </row>
    <row r="386" spans="7:8">
      <c r="G386" s="33"/>
      <c r="H386" s="33"/>
    </row>
    <row r="387" spans="7:8">
      <c r="G387" s="33"/>
      <c r="H387" s="33"/>
    </row>
    <row r="388" spans="7:8">
      <c r="G388" s="33"/>
      <c r="H388" s="33"/>
    </row>
    <row r="389" spans="7:8">
      <c r="G389" s="33"/>
      <c r="H389" s="33"/>
    </row>
    <row r="390" spans="7:8">
      <c r="G390" s="33"/>
      <c r="H390" s="33"/>
    </row>
    <row r="391" spans="7:8">
      <c r="G391" s="33"/>
      <c r="H391" s="33"/>
    </row>
    <row r="392" spans="7:8">
      <c r="G392" s="33"/>
      <c r="H392" s="33"/>
    </row>
    <row r="393" spans="7:8">
      <c r="G393" s="33"/>
      <c r="H393" s="33"/>
    </row>
    <row r="394" spans="7:8">
      <c r="G394" s="33"/>
      <c r="H394" s="33"/>
    </row>
    <row r="395" spans="7:8">
      <c r="G395" s="33"/>
      <c r="H395" s="33"/>
    </row>
    <row r="396" spans="7:8">
      <c r="G396" s="33"/>
      <c r="H396" s="33"/>
    </row>
    <row r="397" spans="7:8">
      <c r="G397" s="33"/>
      <c r="H397" s="33"/>
    </row>
    <row r="398" spans="7:8">
      <c r="G398" s="33"/>
      <c r="H398" s="33"/>
    </row>
    <row r="399" spans="7:8">
      <c r="G399" s="33"/>
      <c r="H399" s="33"/>
    </row>
    <row r="400" spans="7:8">
      <c r="G400" s="33"/>
      <c r="H400" s="33"/>
    </row>
    <row r="401" spans="7:8">
      <c r="G401" s="33"/>
      <c r="H401" s="33"/>
    </row>
    <row r="402" spans="7:8">
      <c r="G402" s="33"/>
      <c r="H402" s="33"/>
    </row>
    <row r="403" spans="7:8">
      <c r="G403" s="33"/>
      <c r="H403" s="33"/>
    </row>
    <row r="404" spans="7:8">
      <c r="G404" s="33"/>
      <c r="H404" s="33"/>
    </row>
    <row r="405" spans="7:8">
      <c r="G405" s="33"/>
      <c r="H405" s="33"/>
    </row>
    <row r="406" spans="7:8">
      <c r="G406" s="33"/>
      <c r="H406" s="33"/>
    </row>
    <row r="407" spans="7:8">
      <c r="G407" s="33"/>
      <c r="H407" s="33"/>
    </row>
    <row r="408" spans="7:8">
      <c r="G408" s="33"/>
      <c r="H408" s="33"/>
    </row>
    <row r="409" spans="7:8">
      <c r="G409" s="33"/>
      <c r="H409" s="33"/>
    </row>
    <row r="410" spans="7:8">
      <c r="G410" s="33"/>
      <c r="H410" s="33"/>
    </row>
    <row r="411" spans="7:8">
      <c r="G411" s="33"/>
      <c r="H411" s="33"/>
    </row>
    <row r="412" spans="7:8">
      <c r="G412" s="33"/>
      <c r="H412" s="33"/>
    </row>
    <row r="413" spans="7:8">
      <c r="G413" s="33"/>
      <c r="H413" s="33"/>
    </row>
    <row r="414" spans="7:8">
      <c r="G414" s="33"/>
      <c r="H414" s="33"/>
    </row>
    <row r="415" spans="7:8">
      <c r="G415" s="33"/>
      <c r="H415" s="33"/>
    </row>
    <row r="416" spans="7:8">
      <c r="G416" s="33"/>
      <c r="H416" s="33"/>
    </row>
    <row r="417" spans="7:8">
      <c r="G417" s="33"/>
      <c r="H417" s="33"/>
    </row>
    <row r="418" spans="7:8">
      <c r="G418" s="33"/>
      <c r="H418" s="33"/>
    </row>
    <row r="419" spans="7:8">
      <c r="G419" s="33"/>
      <c r="H419" s="33"/>
    </row>
    <row r="420" spans="7:8">
      <c r="G420" s="33"/>
      <c r="H420" s="33"/>
    </row>
    <row r="421" spans="7:8">
      <c r="G421" s="33"/>
      <c r="H421" s="33"/>
    </row>
    <row r="422" spans="7:8">
      <c r="G422" s="33"/>
      <c r="H422" s="33"/>
    </row>
    <row r="423" spans="7:8">
      <c r="G423" s="33"/>
      <c r="H423" s="33"/>
    </row>
    <row r="424" spans="7:8">
      <c r="G424" s="33"/>
      <c r="H424" s="33"/>
    </row>
    <row r="425" spans="7:8">
      <c r="G425" s="33"/>
      <c r="H425" s="33"/>
    </row>
    <row r="426" spans="7:8">
      <c r="G426" s="33"/>
      <c r="H426" s="33"/>
    </row>
    <row r="427" spans="7:8">
      <c r="G427" s="33"/>
      <c r="H427" s="33"/>
    </row>
    <row r="428" spans="7:8">
      <c r="G428" s="33"/>
      <c r="H428" s="33"/>
    </row>
    <row r="429" spans="7:8">
      <c r="G429" s="33"/>
      <c r="H429" s="33"/>
    </row>
    <row r="430" spans="7:8">
      <c r="G430" s="33"/>
      <c r="H430" s="33"/>
    </row>
    <row r="431" spans="7:8">
      <c r="G431" s="33"/>
      <c r="H431" s="33"/>
    </row>
    <row r="432" spans="7:8">
      <c r="G432" s="33"/>
      <c r="H432" s="33"/>
    </row>
    <row r="433" spans="7:8">
      <c r="G433" s="33"/>
      <c r="H433" s="33"/>
    </row>
    <row r="434" spans="7:8">
      <c r="G434" s="33"/>
      <c r="H434" s="33"/>
    </row>
    <row r="435" spans="7:8">
      <c r="G435" s="33"/>
      <c r="H435" s="33"/>
    </row>
    <row r="436" spans="7:8">
      <c r="G436" s="33"/>
      <c r="H436" s="33"/>
    </row>
    <row r="437" spans="7:8">
      <c r="G437" s="33"/>
      <c r="H437" s="33"/>
    </row>
    <row r="438" spans="7:8">
      <c r="G438" s="33"/>
      <c r="H438" s="33"/>
    </row>
    <row r="439" spans="7:8">
      <c r="G439" s="33"/>
      <c r="H439" s="33"/>
    </row>
    <row r="440" spans="7:8">
      <c r="G440" s="33"/>
      <c r="H440" s="33"/>
    </row>
    <row r="441" spans="7:8">
      <c r="G441" s="33"/>
      <c r="H441" s="33"/>
    </row>
    <row r="442" spans="7:8">
      <c r="G442" s="33"/>
      <c r="H442" s="33"/>
    </row>
    <row r="443" spans="7:8">
      <c r="G443" s="33"/>
      <c r="H443" s="33"/>
    </row>
    <row r="444" spans="7:8">
      <c r="G444" s="33"/>
      <c r="H444" s="33"/>
    </row>
    <row r="445" spans="7:8">
      <c r="G445" s="33"/>
      <c r="H445" s="33"/>
    </row>
    <row r="446" spans="7:8">
      <c r="G446" s="33"/>
      <c r="H446" s="33"/>
    </row>
    <row r="447" spans="7:8">
      <c r="G447" s="33"/>
      <c r="H447" s="33"/>
    </row>
    <row r="448" spans="7:8">
      <c r="G448" s="33"/>
      <c r="H448" s="33"/>
    </row>
    <row r="449" spans="7:8">
      <c r="G449" s="33"/>
      <c r="H449" s="33"/>
    </row>
    <row r="450" spans="7:8">
      <c r="G450" s="33"/>
      <c r="H450" s="33"/>
    </row>
    <row r="451" spans="7:8">
      <c r="G451" s="33"/>
      <c r="H451" s="33"/>
    </row>
    <row r="452" spans="7:8">
      <c r="G452" s="33"/>
      <c r="H452" s="33"/>
    </row>
    <row r="453" spans="7:8">
      <c r="G453" s="33"/>
      <c r="H453" s="33"/>
    </row>
    <row r="454" spans="7:8">
      <c r="G454" s="33"/>
      <c r="H454" s="33"/>
    </row>
    <row r="455" spans="7:8">
      <c r="G455" s="33"/>
      <c r="H455" s="33"/>
    </row>
    <row r="456" spans="7:8">
      <c r="G456" s="33"/>
      <c r="H456" s="33"/>
    </row>
    <row r="457" spans="7:8">
      <c r="G457" s="33"/>
      <c r="H457" s="33"/>
    </row>
    <row r="458" spans="7:8">
      <c r="G458" s="33"/>
      <c r="H458" s="33"/>
    </row>
    <row r="459" spans="7:8">
      <c r="G459" s="33"/>
      <c r="H459" s="33"/>
    </row>
    <row r="460" spans="7:8">
      <c r="G460" s="33"/>
      <c r="H460" s="33"/>
    </row>
    <row r="461" spans="7:8">
      <c r="G461" s="33"/>
      <c r="H461" s="33"/>
    </row>
    <row r="462" spans="7:8">
      <c r="G462" s="33"/>
      <c r="H462" s="33"/>
    </row>
    <row r="463" spans="7:8">
      <c r="G463" s="33"/>
      <c r="H463" s="33"/>
    </row>
    <row r="464" spans="7:8">
      <c r="G464" s="33"/>
      <c r="H464" s="33"/>
    </row>
    <row r="465" spans="7:8">
      <c r="G465" s="33"/>
      <c r="H465" s="33"/>
    </row>
    <row r="466" spans="7:8">
      <c r="G466" s="33"/>
      <c r="H466" s="33"/>
    </row>
    <row r="467" spans="7:8">
      <c r="G467" s="33"/>
      <c r="H467" s="33"/>
    </row>
    <row r="468" spans="7:8">
      <c r="G468" s="33"/>
      <c r="H468" s="33"/>
    </row>
    <row r="469" spans="7:8">
      <c r="G469" s="33"/>
      <c r="H469" s="33"/>
    </row>
    <row r="470" spans="7:8">
      <c r="G470" s="33"/>
      <c r="H470" s="33"/>
    </row>
    <row r="471" spans="7:8">
      <c r="G471" s="33"/>
      <c r="H471" s="33"/>
    </row>
    <row r="472" spans="7:8">
      <c r="G472" s="33"/>
      <c r="H472" s="33"/>
    </row>
    <row r="473" spans="7:8">
      <c r="G473" s="33"/>
      <c r="H473" s="33"/>
    </row>
    <row r="474" spans="7:8">
      <c r="G474" s="33"/>
      <c r="H474" s="33"/>
    </row>
    <row r="475" spans="7:8">
      <c r="G475" s="33"/>
      <c r="H475" s="33"/>
    </row>
    <row r="476" spans="7:8">
      <c r="G476" s="33"/>
      <c r="H476" s="33"/>
    </row>
    <row r="477" spans="7:8">
      <c r="G477" s="33"/>
      <c r="H477" s="33"/>
    </row>
    <row r="478" spans="7:8">
      <c r="G478" s="33"/>
      <c r="H478" s="33"/>
    </row>
    <row r="479" spans="7:8">
      <c r="G479" s="33"/>
      <c r="H479" s="33"/>
    </row>
    <row r="480" spans="7:8">
      <c r="G480" s="33"/>
      <c r="H480" s="33"/>
    </row>
    <row r="481" spans="7:8">
      <c r="G481" s="33"/>
      <c r="H481" s="33"/>
    </row>
    <row r="482" spans="7:8">
      <c r="G482" s="33"/>
      <c r="H482" s="33"/>
    </row>
    <row r="483" spans="7:8">
      <c r="G483" s="33"/>
      <c r="H483" s="33"/>
    </row>
    <row r="484" spans="7:8">
      <c r="G484" s="33"/>
      <c r="H484" s="33"/>
    </row>
    <row r="485" spans="7:8">
      <c r="G485" s="33"/>
      <c r="H485" s="33"/>
    </row>
    <row r="486" spans="7:8">
      <c r="G486" s="33"/>
      <c r="H486" s="33"/>
    </row>
    <row r="487" spans="7:8">
      <c r="G487" s="33"/>
      <c r="H487" s="33"/>
    </row>
    <row r="488" spans="7:8">
      <c r="G488" s="33"/>
      <c r="H488" s="33"/>
    </row>
    <row r="489" spans="7:8">
      <c r="G489" s="33"/>
      <c r="H489" s="33"/>
    </row>
    <row r="490" spans="7:8">
      <c r="G490" s="33"/>
      <c r="H490" s="33"/>
    </row>
    <row r="491" spans="7:8">
      <c r="G491" s="33"/>
      <c r="H491" s="33"/>
    </row>
    <row r="492" spans="7:8">
      <c r="G492" s="33"/>
      <c r="H492" s="33"/>
    </row>
    <row r="493" spans="7:8">
      <c r="G493" s="33"/>
      <c r="H493" s="33"/>
    </row>
    <row r="494" spans="7:8">
      <c r="G494" s="33"/>
      <c r="H494" s="33"/>
    </row>
    <row r="495" spans="7:8">
      <c r="G495" s="33"/>
      <c r="H495" s="33"/>
    </row>
    <row r="496" spans="7:8">
      <c r="G496" s="33"/>
      <c r="H496" s="33"/>
    </row>
    <row r="497" spans="7:8">
      <c r="G497" s="33"/>
      <c r="H497" s="33"/>
    </row>
    <row r="498" spans="7:8">
      <c r="G498" s="33"/>
      <c r="H498" s="33"/>
    </row>
    <row r="499" spans="7:8">
      <c r="G499" s="33"/>
      <c r="H499" s="33"/>
    </row>
    <row r="500" spans="7:8">
      <c r="G500" s="33"/>
      <c r="H500" s="33"/>
    </row>
    <row r="501" spans="7:8">
      <c r="G501" s="33"/>
      <c r="H501" s="33"/>
    </row>
    <row r="502" spans="7:8">
      <c r="G502" s="33"/>
      <c r="H502" s="33"/>
    </row>
    <row r="503" spans="7:8">
      <c r="G503" s="33"/>
      <c r="H503" s="33"/>
    </row>
    <row r="504" spans="7:8">
      <c r="G504" s="33"/>
      <c r="H504" s="33"/>
    </row>
    <row r="505" spans="7:8">
      <c r="G505" s="33"/>
      <c r="H505" s="33"/>
    </row>
    <row r="506" spans="7:8">
      <c r="G506" s="33"/>
      <c r="H506" s="33"/>
    </row>
    <row r="507" spans="7:8">
      <c r="G507" s="33"/>
      <c r="H507" s="33"/>
    </row>
    <row r="508" spans="7:8">
      <c r="G508" s="33"/>
      <c r="H508" s="33"/>
    </row>
    <row r="509" spans="7:8">
      <c r="G509" s="33"/>
      <c r="H509" s="33"/>
    </row>
    <row r="510" spans="7:8">
      <c r="G510" s="33"/>
      <c r="H510" s="33"/>
    </row>
    <row r="511" spans="7:8">
      <c r="G511" s="33"/>
      <c r="H511" s="33"/>
    </row>
    <row r="512" spans="7:8">
      <c r="G512" s="33"/>
      <c r="H512" s="33"/>
    </row>
    <row r="513" spans="7:8">
      <c r="G513" s="33"/>
      <c r="H513" s="33"/>
    </row>
    <row r="514" spans="7:8">
      <c r="G514" s="33"/>
      <c r="H514" s="33"/>
    </row>
    <row r="515" spans="7:8">
      <c r="G515" s="33"/>
      <c r="H515" s="33"/>
    </row>
    <row r="516" spans="7:8">
      <c r="G516" s="33"/>
      <c r="H516" s="33"/>
    </row>
    <row r="517" spans="7:8">
      <c r="G517" s="33"/>
      <c r="H517" s="33"/>
    </row>
    <row r="518" spans="7:8">
      <c r="G518" s="33"/>
      <c r="H518" s="33"/>
    </row>
    <row r="519" spans="7:8">
      <c r="G519" s="33"/>
      <c r="H519" s="33"/>
    </row>
    <row r="520" spans="7:8">
      <c r="G520" s="33"/>
      <c r="H520" s="33"/>
    </row>
    <row r="521" spans="7:8">
      <c r="G521" s="33"/>
      <c r="H521" s="33"/>
    </row>
    <row r="522" spans="7:8">
      <c r="G522" s="33"/>
      <c r="H522" s="33"/>
    </row>
    <row r="523" spans="7:8">
      <c r="G523" s="33"/>
      <c r="H523" s="33"/>
    </row>
    <row r="524" spans="7:8">
      <c r="G524" s="33"/>
      <c r="H524" s="33"/>
    </row>
    <row r="525" spans="7:8">
      <c r="G525" s="33"/>
      <c r="H525" s="33"/>
    </row>
    <row r="526" spans="7:8">
      <c r="G526" s="33"/>
      <c r="H526" s="33"/>
    </row>
    <row r="527" spans="7:8">
      <c r="G527" s="33"/>
      <c r="H527" s="33"/>
    </row>
    <row r="528" spans="7:8">
      <c r="G528" s="33"/>
      <c r="H528" s="33"/>
    </row>
    <row r="529" spans="7:8">
      <c r="G529" s="33"/>
      <c r="H529" s="33"/>
    </row>
    <row r="530" spans="7:8">
      <c r="G530" s="33"/>
      <c r="H530" s="33"/>
    </row>
    <row r="531" spans="7:8">
      <c r="G531" s="33"/>
      <c r="H531" s="33"/>
    </row>
    <row r="532" spans="7:8">
      <c r="G532" s="33"/>
      <c r="H532" s="33"/>
    </row>
    <row r="533" spans="7:8">
      <c r="G533" s="33"/>
      <c r="H533" s="33"/>
    </row>
    <row r="534" spans="7:8">
      <c r="G534" s="33"/>
      <c r="H534" s="33"/>
    </row>
    <row r="535" spans="7:8">
      <c r="G535" s="33"/>
      <c r="H535" s="33"/>
    </row>
    <row r="536" spans="7:8">
      <c r="G536" s="33"/>
      <c r="H536" s="33"/>
    </row>
    <row r="537" spans="7:8">
      <c r="G537" s="33"/>
      <c r="H537" s="33"/>
    </row>
    <row r="538" spans="7:8">
      <c r="G538" s="33"/>
      <c r="H538" s="33"/>
    </row>
    <row r="539" spans="7:8">
      <c r="G539" s="33"/>
      <c r="H539" s="33"/>
    </row>
    <row r="540" spans="7:8">
      <c r="G540" s="33"/>
      <c r="H540" s="33"/>
    </row>
    <row r="541" spans="7:8">
      <c r="G541" s="33"/>
      <c r="H541" s="33"/>
    </row>
    <row r="542" spans="7:8">
      <c r="G542" s="33"/>
      <c r="H542" s="33"/>
    </row>
    <row r="543" spans="7:8">
      <c r="G543" s="33"/>
      <c r="H543" s="33"/>
    </row>
    <row r="544" spans="7:8">
      <c r="G544" s="33"/>
      <c r="H544" s="33"/>
    </row>
    <row r="545" spans="7:8">
      <c r="G545" s="33"/>
      <c r="H545" s="33"/>
    </row>
    <row r="546" spans="7:8">
      <c r="G546" s="33"/>
      <c r="H546" s="33"/>
    </row>
    <row r="547" spans="7:8">
      <c r="G547" s="33"/>
      <c r="H547" s="33"/>
    </row>
    <row r="548" spans="7:8">
      <c r="G548" s="33"/>
      <c r="H548" s="33"/>
    </row>
    <row r="549" spans="7:8">
      <c r="G549" s="33"/>
      <c r="H549" s="33"/>
    </row>
    <row r="550" spans="7:8">
      <c r="G550" s="33"/>
      <c r="H550" s="33"/>
    </row>
    <row r="551" spans="7:8">
      <c r="G551" s="33"/>
      <c r="H551" s="33"/>
    </row>
    <row r="552" spans="7:8">
      <c r="G552" s="33"/>
      <c r="H552" s="33"/>
    </row>
    <row r="553" spans="7:8">
      <c r="G553" s="33"/>
      <c r="H553" s="33"/>
    </row>
    <row r="554" spans="7:8">
      <c r="G554" s="33"/>
      <c r="H554" s="33"/>
    </row>
    <row r="555" spans="7:8">
      <c r="G555" s="33"/>
      <c r="H555" s="33"/>
    </row>
    <row r="556" spans="7:8">
      <c r="G556" s="33"/>
      <c r="H556" s="33"/>
    </row>
    <row r="557" spans="7:8">
      <c r="G557" s="33"/>
      <c r="H557" s="33"/>
    </row>
    <row r="558" spans="7:8">
      <c r="G558" s="33"/>
      <c r="H558" s="33"/>
    </row>
    <row r="559" spans="7:8">
      <c r="G559" s="33"/>
      <c r="H559" s="33"/>
    </row>
    <row r="560" spans="7:8">
      <c r="G560" s="33"/>
      <c r="H560" s="33"/>
    </row>
    <row r="561" spans="7:8">
      <c r="G561" s="33"/>
      <c r="H561" s="33"/>
    </row>
    <row r="562" spans="7:8">
      <c r="G562" s="33"/>
      <c r="H562" s="33"/>
    </row>
    <row r="563" spans="7:8">
      <c r="G563" s="33"/>
      <c r="H563" s="33"/>
    </row>
    <row r="564" spans="7:8">
      <c r="G564" s="33"/>
      <c r="H564" s="33"/>
    </row>
    <row r="565" spans="7:8">
      <c r="G565" s="33"/>
      <c r="H565" s="33"/>
    </row>
    <row r="566" spans="7:8">
      <c r="G566" s="33"/>
      <c r="H566" s="33"/>
    </row>
    <row r="567" spans="7:8">
      <c r="G567" s="33"/>
      <c r="H567" s="33"/>
    </row>
    <row r="568" spans="7:8">
      <c r="G568" s="33"/>
      <c r="H568" s="33"/>
    </row>
    <row r="569" spans="7:8">
      <c r="G569" s="33"/>
      <c r="H569" s="33"/>
    </row>
    <row r="570" spans="7:8">
      <c r="G570" s="33"/>
      <c r="H570" s="33"/>
    </row>
    <row r="571" spans="7:8">
      <c r="G571" s="33"/>
      <c r="H571" s="33"/>
    </row>
    <row r="572" spans="7:8">
      <c r="G572" s="33"/>
      <c r="H572" s="33"/>
    </row>
    <row r="573" spans="7:8">
      <c r="G573" s="33"/>
      <c r="H573" s="33"/>
    </row>
    <row r="574" spans="7:8">
      <c r="G574" s="33"/>
      <c r="H574" s="33"/>
    </row>
    <row r="575" spans="7:8">
      <c r="G575" s="33"/>
      <c r="H575" s="33"/>
    </row>
    <row r="576" spans="7:8">
      <c r="G576" s="33"/>
      <c r="H576" s="33"/>
    </row>
    <row r="577" spans="7:8">
      <c r="G577" s="33"/>
      <c r="H577" s="33"/>
    </row>
    <row r="578" spans="7:8">
      <c r="G578" s="33"/>
      <c r="H578" s="33"/>
    </row>
    <row r="579" spans="7:8">
      <c r="G579" s="33"/>
      <c r="H579" s="33"/>
    </row>
    <row r="580" spans="7:8">
      <c r="G580" s="33"/>
      <c r="H580" s="33"/>
    </row>
    <row r="581" spans="7:8">
      <c r="G581" s="33"/>
      <c r="H581" s="33"/>
    </row>
    <row r="582" spans="7:8">
      <c r="G582" s="33"/>
      <c r="H582" s="33"/>
    </row>
    <row r="583" spans="7:8">
      <c r="G583" s="33"/>
      <c r="H583" s="33"/>
    </row>
    <row r="584" spans="7:8">
      <c r="G584" s="33"/>
      <c r="H584" s="33"/>
    </row>
    <row r="585" spans="7:8">
      <c r="G585" s="33"/>
      <c r="H585" s="33"/>
    </row>
    <row r="586" spans="7:8">
      <c r="G586" s="33"/>
      <c r="H586" s="33"/>
    </row>
    <row r="587" spans="7:8">
      <c r="G587" s="33"/>
      <c r="H587" s="33"/>
    </row>
    <row r="588" spans="7:8">
      <c r="G588" s="33"/>
      <c r="H588" s="33"/>
    </row>
    <row r="589" spans="7:8">
      <c r="G589" s="33"/>
      <c r="H589" s="33"/>
    </row>
    <row r="590" spans="7:8">
      <c r="G590" s="33"/>
      <c r="H590" s="33"/>
    </row>
    <row r="591" spans="7:8">
      <c r="G591" s="33"/>
      <c r="H591" s="33"/>
    </row>
    <row r="592" spans="7:8">
      <c r="G592" s="33"/>
      <c r="H592" s="33"/>
    </row>
    <row r="593" spans="7:8">
      <c r="G593" s="33"/>
      <c r="H593" s="33"/>
    </row>
    <row r="594" spans="7:8">
      <c r="G594" s="33"/>
      <c r="H594" s="33"/>
    </row>
    <row r="595" spans="7:8">
      <c r="G595" s="33"/>
      <c r="H595" s="33"/>
    </row>
    <row r="596" spans="7:8">
      <c r="G596" s="33"/>
      <c r="H596" s="33"/>
    </row>
    <row r="597" spans="7:8">
      <c r="G597" s="33"/>
      <c r="H597" s="33"/>
    </row>
    <row r="598" spans="7:8">
      <c r="G598" s="33"/>
      <c r="H598" s="33"/>
    </row>
    <row r="599" spans="7:8">
      <c r="G599" s="33"/>
      <c r="H599" s="33"/>
    </row>
    <row r="600" spans="7:8">
      <c r="G600" s="33"/>
      <c r="H600" s="33"/>
    </row>
    <row r="601" spans="7:8">
      <c r="G601" s="33"/>
      <c r="H601" s="33"/>
    </row>
    <row r="602" spans="7:8">
      <c r="G602" s="33"/>
      <c r="H602" s="33"/>
    </row>
    <row r="603" spans="7:8">
      <c r="G603" s="33"/>
      <c r="H603" s="33"/>
    </row>
    <row r="604" spans="7:8">
      <c r="G604" s="33"/>
      <c r="H604" s="33"/>
    </row>
    <row r="605" spans="7:8">
      <c r="G605" s="33"/>
      <c r="H605" s="33"/>
    </row>
    <row r="606" spans="7:8">
      <c r="G606" s="33"/>
      <c r="H606" s="33"/>
    </row>
    <row r="607" spans="7:8">
      <c r="G607" s="33"/>
      <c r="H607" s="33"/>
    </row>
    <row r="608" spans="7:8">
      <c r="G608" s="33"/>
      <c r="H608" s="33"/>
    </row>
    <row r="609" spans="7:8">
      <c r="G609" s="33"/>
      <c r="H609" s="33"/>
    </row>
    <row r="610" spans="7:8">
      <c r="G610" s="33"/>
      <c r="H610" s="33"/>
    </row>
    <row r="611" spans="7:8">
      <c r="G611" s="33"/>
      <c r="H611" s="33"/>
    </row>
    <row r="612" spans="7:8">
      <c r="G612" s="33"/>
      <c r="H612" s="33"/>
    </row>
    <row r="613" spans="7:8">
      <c r="G613" s="33"/>
      <c r="H613" s="33"/>
    </row>
    <row r="614" spans="7:8">
      <c r="G614" s="33"/>
      <c r="H614" s="33"/>
    </row>
    <row r="615" spans="7:8">
      <c r="G615" s="33"/>
      <c r="H615" s="33"/>
    </row>
    <row r="616" spans="7:8">
      <c r="G616" s="33"/>
      <c r="H616" s="33"/>
    </row>
    <row r="617" spans="7:8">
      <c r="G617" s="33"/>
      <c r="H617" s="33"/>
    </row>
    <row r="618" spans="7:8">
      <c r="G618" s="33"/>
      <c r="H618" s="33"/>
    </row>
    <row r="619" spans="7:8">
      <c r="G619" s="33"/>
      <c r="H619" s="33"/>
    </row>
    <row r="620" spans="7:8">
      <c r="G620" s="33"/>
      <c r="H620" s="33"/>
    </row>
    <row r="621" spans="7:8">
      <c r="G621" s="33"/>
      <c r="H621" s="33"/>
    </row>
    <row r="622" spans="7:8">
      <c r="G622" s="33"/>
      <c r="H622" s="33"/>
    </row>
    <row r="623" spans="7:8">
      <c r="G623" s="33"/>
      <c r="H623" s="33"/>
    </row>
    <row r="624" spans="7:8">
      <c r="G624" s="33"/>
      <c r="H624" s="33"/>
    </row>
    <row r="625" spans="7:8">
      <c r="G625" s="33"/>
      <c r="H625" s="33"/>
    </row>
    <row r="626" spans="7:8">
      <c r="G626" s="33"/>
      <c r="H626" s="33"/>
    </row>
    <row r="627" spans="7:8">
      <c r="G627" s="33"/>
      <c r="H627" s="33"/>
    </row>
    <row r="628" spans="7:8">
      <c r="G628" s="33"/>
      <c r="H628" s="33"/>
    </row>
    <row r="629" spans="7:8">
      <c r="G629" s="33"/>
      <c r="H629" s="33"/>
    </row>
    <row r="630" spans="7:8">
      <c r="G630" s="33"/>
      <c r="H630" s="33"/>
    </row>
    <row r="631" spans="7:8">
      <c r="G631" s="33"/>
      <c r="H631" s="33"/>
    </row>
    <row r="632" spans="7:8">
      <c r="G632" s="33"/>
      <c r="H632" s="33"/>
    </row>
    <row r="633" spans="7:8">
      <c r="G633" s="33"/>
      <c r="H633" s="33"/>
    </row>
    <row r="634" spans="7:8">
      <c r="G634" s="33"/>
      <c r="H634" s="33"/>
    </row>
    <row r="635" spans="7:8">
      <c r="G635" s="33"/>
      <c r="H635" s="33"/>
    </row>
    <row r="636" spans="7:8">
      <c r="G636" s="33"/>
      <c r="H636" s="33"/>
    </row>
    <row r="637" spans="7:8">
      <c r="G637" s="33"/>
      <c r="H637" s="33"/>
    </row>
    <row r="638" spans="7:8">
      <c r="G638" s="33"/>
      <c r="H638" s="33"/>
    </row>
    <row r="639" spans="7:8">
      <c r="G639" s="33"/>
      <c r="H639" s="33"/>
    </row>
    <row r="640" spans="7:8">
      <c r="G640" s="33"/>
      <c r="H640" s="33"/>
    </row>
    <row r="641" spans="7:8">
      <c r="G641" s="33"/>
      <c r="H641" s="33"/>
    </row>
    <row r="642" spans="7:8">
      <c r="G642" s="33"/>
      <c r="H642" s="33"/>
    </row>
    <row r="643" spans="7:8">
      <c r="G643" s="33"/>
      <c r="H643" s="33"/>
    </row>
    <row r="644" spans="7:8">
      <c r="G644" s="33"/>
      <c r="H644" s="33"/>
    </row>
    <row r="645" spans="7:8">
      <c r="G645" s="33"/>
      <c r="H645" s="33"/>
    </row>
    <row r="646" spans="7:8">
      <c r="G646" s="33"/>
      <c r="H646" s="33"/>
    </row>
    <row r="647" spans="7:8">
      <c r="G647" s="33"/>
      <c r="H647" s="33"/>
    </row>
    <row r="648" spans="7:8">
      <c r="G648" s="33"/>
      <c r="H648" s="33"/>
    </row>
    <row r="649" spans="7:8">
      <c r="G649" s="33"/>
      <c r="H649" s="33"/>
    </row>
    <row r="650" spans="7:8">
      <c r="G650" s="33"/>
      <c r="H650" s="33"/>
    </row>
    <row r="651" spans="7:8">
      <c r="G651" s="33"/>
      <c r="H651" s="33"/>
    </row>
    <row r="652" spans="7:8">
      <c r="G652" s="33"/>
      <c r="H652" s="33"/>
    </row>
    <row r="653" spans="7:8">
      <c r="G653" s="33"/>
      <c r="H653" s="33"/>
    </row>
    <row r="654" spans="7:8">
      <c r="G654" s="33"/>
      <c r="H654" s="33"/>
    </row>
    <row r="655" spans="7:8">
      <c r="G655" s="33"/>
      <c r="H655" s="33"/>
    </row>
    <row r="656" spans="7:8">
      <c r="G656" s="33"/>
      <c r="H656" s="33"/>
    </row>
    <row r="657" spans="7:8">
      <c r="G657" s="33"/>
      <c r="H657" s="33"/>
    </row>
    <row r="658" spans="7:8">
      <c r="G658" s="33"/>
      <c r="H658" s="33"/>
    </row>
    <row r="659" spans="7:8">
      <c r="G659" s="33"/>
      <c r="H659" s="33"/>
    </row>
    <row r="660" spans="7:8">
      <c r="G660" s="33"/>
      <c r="H660" s="33"/>
    </row>
    <row r="661" spans="7:8">
      <c r="G661" s="33"/>
      <c r="H661" s="33"/>
    </row>
    <row r="662" spans="7:8">
      <c r="G662" s="33"/>
      <c r="H662" s="33"/>
    </row>
    <row r="663" spans="7:8">
      <c r="G663" s="33"/>
      <c r="H663" s="33"/>
    </row>
    <row r="664" spans="7:8">
      <c r="G664" s="33"/>
      <c r="H664" s="33"/>
    </row>
    <row r="665" spans="7:8">
      <c r="G665" s="33"/>
      <c r="H665" s="33"/>
    </row>
    <row r="666" spans="7:8">
      <c r="G666" s="33"/>
      <c r="H666" s="33"/>
    </row>
    <row r="667" spans="7:8">
      <c r="G667" s="33"/>
      <c r="H667" s="33"/>
    </row>
    <row r="668" spans="7:8">
      <c r="G668" s="33"/>
      <c r="H668" s="33"/>
    </row>
    <row r="669" spans="7:8">
      <c r="G669" s="33"/>
      <c r="H669" s="33"/>
    </row>
    <row r="670" spans="7:8">
      <c r="G670" s="33"/>
      <c r="H670" s="33"/>
    </row>
    <row r="671" spans="7:8">
      <c r="G671" s="33"/>
      <c r="H671" s="33"/>
    </row>
    <row r="672" spans="7:8">
      <c r="G672" s="33"/>
      <c r="H672" s="33"/>
    </row>
    <row r="673" spans="7:8">
      <c r="G673" s="33"/>
      <c r="H673" s="33"/>
    </row>
    <row r="674" spans="7:8">
      <c r="G674" s="33"/>
      <c r="H674" s="33"/>
    </row>
    <row r="675" spans="7:8">
      <c r="G675" s="33"/>
      <c r="H675" s="33"/>
    </row>
    <row r="676" spans="7:8">
      <c r="G676" s="33"/>
      <c r="H676" s="33"/>
    </row>
    <row r="677" spans="7:8">
      <c r="G677" s="33"/>
      <c r="H677" s="33"/>
    </row>
    <row r="678" spans="7:8">
      <c r="G678" s="33"/>
      <c r="H678" s="33"/>
    </row>
    <row r="679" spans="7:8">
      <c r="G679" s="33"/>
      <c r="H679" s="33"/>
    </row>
    <row r="680" spans="7:8">
      <c r="G680" s="33"/>
      <c r="H680" s="33"/>
    </row>
    <row r="681" spans="7:8">
      <c r="G681" s="33"/>
      <c r="H681" s="33"/>
    </row>
    <row r="682" spans="7:8">
      <c r="G682" s="33"/>
      <c r="H682" s="33"/>
    </row>
    <row r="683" spans="7:8">
      <c r="G683" s="33"/>
      <c r="H683" s="33"/>
    </row>
    <row r="684" spans="7:8">
      <c r="G684" s="33"/>
      <c r="H684" s="33"/>
    </row>
    <row r="685" spans="7:8">
      <c r="G685" s="33"/>
      <c r="H685" s="33"/>
    </row>
    <row r="686" spans="7:8">
      <c r="G686" s="33"/>
      <c r="H686" s="33"/>
    </row>
    <row r="687" spans="7:8">
      <c r="G687" s="33"/>
      <c r="H687" s="33"/>
    </row>
    <row r="688" spans="7:8">
      <c r="G688" s="33"/>
      <c r="H688" s="33"/>
    </row>
    <row r="689" spans="7:8">
      <c r="G689" s="33"/>
      <c r="H689" s="33"/>
    </row>
    <row r="690" spans="7:8">
      <c r="G690" s="33"/>
      <c r="H690" s="33"/>
    </row>
    <row r="691" spans="7:8">
      <c r="G691" s="33"/>
      <c r="H691" s="33"/>
    </row>
    <row r="692" spans="7:8">
      <c r="G692" s="33"/>
      <c r="H692" s="33"/>
    </row>
    <row r="693" spans="7:8">
      <c r="G693" s="33"/>
      <c r="H693" s="33"/>
    </row>
    <row r="694" spans="7:8">
      <c r="G694" s="33"/>
      <c r="H694" s="33"/>
    </row>
    <row r="695" spans="7:8">
      <c r="G695" s="33"/>
      <c r="H695" s="33"/>
    </row>
    <row r="696" spans="7:8">
      <c r="G696" s="33"/>
      <c r="H696" s="33"/>
    </row>
    <row r="697" spans="7:8">
      <c r="G697" s="33"/>
      <c r="H697" s="33"/>
    </row>
    <row r="698" spans="7:8">
      <c r="G698" s="33"/>
      <c r="H698" s="33"/>
    </row>
    <row r="699" spans="7:8">
      <c r="G699" s="33"/>
      <c r="H699" s="33"/>
    </row>
    <row r="700" spans="7:8">
      <c r="G700" s="33"/>
      <c r="H700" s="33"/>
    </row>
    <row r="701" spans="7:8">
      <c r="G701" s="33"/>
      <c r="H701" s="33"/>
    </row>
    <row r="702" spans="7:8">
      <c r="G702" s="33"/>
      <c r="H702" s="33"/>
    </row>
    <row r="703" spans="7:8">
      <c r="G703" s="33"/>
      <c r="H703" s="33"/>
    </row>
    <row r="704" spans="7:8">
      <c r="G704" s="33"/>
      <c r="H704" s="33"/>
    </row>
    <row r="705" spans="7:8">
      <c r="G705" s="33"/>
      <c r="H705" s="33"/>
    </row>
    <row r="706" spans="7:8">
      <c r="G706" s="33"/>
      <c r="H706" s="33"/>
    </row>
    <row r="707" spans="7:8">
      <c r="G707" s="33"/>
      <c r="H707" s="33"/>
    </row>
    <row r="708" spans="7:8">
      <c r="G708" s="33"/>
      <c r="H708" s="33"/>
    </row>
    <row r="709" spans="7:8">
      <c r="G709" s="33"/>
      <c r="H709" s="33"/>
    </row>
    <row r="710" spans="7:8">
      <c r="G710" s="33"/>
      <c r="H710" s="33"/>
    </row>
    <row r="711" spans="7:8">
      <c r="G711" s="33"/>
      <c r="H711" s="33"/>
    </row>
    <row r="712" spans="7:8">
      <c r="G712" s="33"/>
      <c r="H712" s="33"/>
    </row>
    <row r="713" spans="7:8">
      <c r="G713" s="33"/>
      <c r="H713" s="33"/>
    </row>
    <row r="714" spans="7:8">
      <c r="G714" s="33"/>
      <c r="H714" s="33"/>
    </row>
    <row r="715" spans="7:8">
      <c r="G715" s="33"/>
      <c r="H715" s="33"/>
    </row>
    <row r="716" spans="7:8">
      <c r="G716" s="33"/>
      <c r="H716" s="33"/>
    </row>
    <row r="717" spans="7:8">
      <c r="G717" s="33"/>
      <c r="H717" s="33"/>
    </row>
    <row r="718" spans="7:8">
      <c r="G718" s="33"/>
      <c r="H718" s="33"/>
    </row>
    <row r="719" spans="7:8">
      <c r="G719" s="33"/>
      <c r="H719" s="33"/>
    </row>
    <row r="720" spans="7:8">
      <c r="G720" s="33"/>
      <c r="H720" s="33"/>
    </row>
    <row r="721" spans="7:8">
      <c r="G721" s="33"/>
      <c r="H721" s="33"/>
    </row>
    <row r="722" spans="7:8">
      <c r="G722" s="33"/>
      <c r="H722" s="33"/>
    </row>
    <row r="723" spans="7:8">
      <c r="G723" s="33"/>
      <c r="H723" s="33"/>
    </row>
    <row r="724" spans="7:8">
      <c r="G724" s="33"/>
      <c r="H724" s="33"/>
    </row>
    <row r="725" spans="7:8">
      <c r="G725" s="33"/>
      <c r="H725" s="33"/>
    </row>
    <row r="726" spans="7:8">
      <c r="G726" s="33"/>
      <c r="H726" s="33"/>
    </row>
    <row r="727" spans="7:8">
      <c r="G727" s="33"/>
      <c r="H727" s="33"/>
    </row>
    <row r="728" spans="7:8">
      <c r="G728" s="33"/>
      <c r="H728" s="33"/>
    </row>
    <row r="729" spans="7:8">
      <c r="G729" s="33"/>
      <c r="H729" s="33"/>
    </row>
    <row r="730" spans="7:8">
      <c r="G730" s="33"/>
      <c r="H730" s="33"/>
    </row>
    <row r="731" spans="7:8">
      <c r="G731" s="33"/>
      <c r="H731" s="33"/>
    </row>
    <row r="732" spans="7:8">
      <c r="G732" s="33"/>
      <c r="H732" s="33"/>
    </row>
    <row r="733" spans="7:8">
      <c r="G733" s="33"/>
      <c r="H733" s="33"/>
    </row>
    <row r="734" spans="7:8">
      <c r="G734" s="33"/>
      <c r="H734" s="33"/>
    </row>
    <row r="735" spans="7:8">
      <c r="G735" s="33"/>
      <c r="H735" s="33"/>
    </row>
    <row r="736" spans="7:8">
      <c r="G736" s="33"/>
      <c r="H736" s="33"/>
    </row>
    <row r="737" spans="7:8">
      <c r="G737" s="33"/>
      <c r="H737" s="33"/>
    </row>
    <row r="738" spans="7:8">
      <c r="G738" s="33"/>
      <c r="H738" s="33"/>
    </row>
    <row r="739" spans="7:8">
      <c r="G739" s="33"/>
      <c r="H739" s="33"/>
    </row>
    <row r="740" spans="7:8">
      <c r="G740" s="33"/>
      <c r="H740" s="33"/>
    </row>
    <row r="741" spans="7:8">
      <c r="G741" s="33"/>
      <c r="H741" s="33"/>
    </row>
    <row r="742" spans="7:8">
      <c r="G742" s="33"/>
      <c r="H742" s="33"/>
    </row>
    <row r="743" spans="7:8">
      <c r="G743" s="33"/>
      <c r="H743" s="33"/>
    </row>
    <row r="744" spans="7:8">
      <c r="G744" s="33"/>
      <c r="H744" s="33"/>
    </row>
    <row r="745" spans="7:8">
      <c r="G745" s="33"/>
      <c r="H745" s="33"/>
    </row>
    <row r="746" spans="7:8">
      <c r="G746" s="33"/>
      <c r="H746" s="33"/>
    </row>
    <row r="747" spans="7:8">
      <c r="G747" s="33"/>
      <c r="H747" s="33"/>
    </row>
    <row r="748" spans="7:8">
      <c r="G748" s="33"/>
      <c r="H748" s="33"/>
    </row>
    <row r="749" spans="7:8">
      <c r="G749" s="33"/>
      <c r="H749" s="33"/>
    </row>
    <row r="750" spans="7:8">
      <c r="G750" s="33"/>
      <c r="H750" s="33"/>
    </row>
    <row r="751" spans="7:8">
      <c r="G751" s="33"/>
      <c r="H751" s="33"/>
    </row>
    <row r="752" spans="7:8">
      <c r="G752" s="33"/>
      <c r="H752" s="33"/>
    </row>
    <row r="753" spans="7:8">
      <c r="G753" s="33"/>
      <c r="H753" s="33"/>
    </row>
    <row r="754" spans="7:8">
      <c r="G754" s="33"/>
      <c r="H754" s="33"/>
    </row>
    <row r="755" spans="7:8">
      <c r="G755" s="33"/>
      <c r="H755" s="33"/>
    </row>
    <row r="756" spans="7:8">
      <c r="G756" s="33"/>
      <c r="H756" s="33"/>
    </row>
    <row r="757" spans="7:8">
      <c r="G757" s="33"/>
      <c r="H757" s="33"/>
    </row>
    <row r="758" spans="7:8">
      <c r="G758" s="33"/>
      <c r="H758" s="33"/>
    </row>
    <row r="759" spans="7:8">
      <c r="G759" s="33"/>
      <c r="H759" s="33"/>
    </row>
    <row r="760" spans="7:8">
      <c r="G760" s="33"/>
      <c r="H760" s="33"/>
    </row>
    <row r="761" spans="7:8">
      <c r="G761" s="33"/>
      <c r="H761" s="33"/>
    </row>
    <row r="762" spans="7:8">
      <c r="G762" s="33"/>
      <c r="H762" s="33"/>
    </row>
    <row r="763" spans="7:8">
      <c r="G763" s="33"/>
      <c r="H763" s="33"/>
    </row>
    <row r="764" spans="7:8">
      <c r="G764" s="33"/>
      <c r="H764" s="33"/>
    </row>
    <row r="765" spans="7:8">
      <c r="G765" s="33"/>
      <c r="H765" s="33"/>
    </row>
    <row r="766" spans="7:8">
      <c r="G766" s="33"/>
      <c r="H766" s="33"/>
    </row>
    <row r="767" spans="7:8">
      <c r="G767" s="33"/>
      <c r="H767" s="33"/>
    </row>
    <row r="768" spans="7:8">
      <c r="G768" s="33"/>
      <c r="H768" s="33"/>
    </row>
    <row r="769" spans="7:8">
      <c r="G769" s="33"/>
      <c r="H769" s="33"/>
    </row>
    <row r="770" spans="7:8">
      <c r="G770" s="33"/>
      <c r="H770" s="33"/>
    </row>
    <row r="771" spans="7:8">
      <c r="G771" s="33"/>
      <c r="H771" s="33"/>
    </row>
    <row r="772" spans="7:8">
      <c r="G772" s="33"/>
      <c r="H772" s="33"/>
    </row>
    <row r="773" spans="7:8">
      <c r="G773" s="33"/>
      <c r="H773" s="33"/>
    </row>
    <row r="774" spans="7:8">
      <c r="G774" s="33"/>
      <c r="H774" s="33"/>
    </row>
    <row r="775" spans="7:8">
      <c r="G775" s="33"/>
      <c r="H775" s="33"/>
    </row>
    <row r="776" spans="7:8">
      <c r="G776" s="33"/>
      <c r="H776" s="33"/>
    </row>
    <row r="777" spans="7:8">
      <c r="G777" s="33"/>
      <c r="H777" s="33"/>
    </row>
    <row r="778" spans="7:8">
      <c r="G778" s="33"/>
      <c r="H778" s="33"/>
    </row>
    <row r="779" spans="7:8">
      <c r="G779" s="33"/>
      <c r="H779" s="33"/>
    </row>
    <row r="780" spans="7:8">
      <c r="G780" s="33"/>
      <c r="H780" s="33"/>
    </row>
    <row r="781" spans="7:8">
      <c r="G781" s="33"/>
      <c r="H781" s="33"/>
    </row>
    <row r="782" spans="7:8">
      <c r="G782" s="33"/>
      <c r="H782" s="33"/>
    </row>
    <row r="783" spans="7:8">
      <c r="G783" s="33"/>
      <c r="H783" s="33"/>
    </row>
    <row r="784" spans="7:8">
      <c r="G784" s="33"/>
      <c r="H784" s="33"/>
    </row>
    <row r="785" spans="7:8">
      <c r="G785" s="33"/>
      <c r="H785" s="33"/>
    </row>
    <row r="786" spans="7:8">
      <c r="G786" s="33"/>
      <c r="H786" s="33"/>
    </row>
    <row r="787" spans="7:8">
      <c r="G787" s="33"/>
      <c r="H787" s="33"/>
    </row>
    <row r="788" spans="7:8">
      <c r="G788" s="33"/>
      <c r="H788" s="33"/>
    </row>
    <row r="789" spans="7:8">
      <c r="G789" s="33"/>
      <c r="H789" s="33"/>
    </row>
    <row r="790" spans="7:8">
      <c r="G790" s="33"/>
      <c r="H790" s="33"/>
    </row>
    <row r="791" spans="7:8">
      <c r="G791" s="33"/>
      <c r="H791" s="33"/>
    </row>
    <row r="792" spans="7:8">
      <c r="G792" s="33"/>
      <c r="H792" s="33"/>
    </row>
    <row r="793" spans="7:8">
      <c r="G793" s="33"/>
      <c r="H793" s="33"/>
    </row>
    <row r="794" spans="7:8">
      <c r="G794" s="33"/>
      <c r="H794" s="33"/>
    </row>
    <row r="795" spans="7:8">
      <c r="G795" s="33"/>
      <c r="H795" s="33"/>
    </row>
    <row r="796" spans="7:8">
      <c r="G796" s="33"/>
      <c r="H796" s="33"/>
    </row>
    <row r="797" spans="7:8">
      <c r="G797" s="33"/>
      <c r="H797" s="33"/>
    </row>
    <row r="798" spans="7:8">
      <c r="G798" s="33"/>
      <c r="H798" s="33"/>
    </row>
    <row r="799" spans="7:8">
      <c r="G799" s="33"/>
      <c r="H799" s="33"/>
    </row>
    <row r="800" spans="7:8">
      <c r="G800" s="33"/>
      <c r="H800" s="33"/>
    </row>
    <row r="801" spans="7:8">
      <c r="G801" s="33"/>
      <c r="H801" s="33"/>
    </row>
    <row r="802" spans="7:8">
      <c r="G802" s="33"/>
      <c r="H802" s="33"/>
    </row>
    <row r="803" spans="7:8">
      <c r="G803" s="33"/>
      <c r="H803" s="33"/>
    </row>
    <row r="804" spans="7:8">
      <c r="G804" s="33"/>
      <c r="H804" s="33"/>
    </row>
    <row r="805" spans="7:8">
      <c r="G805" s="33"/>
      <c r="H805" s="33"/>
    </row>
    <row r="806" spans="7:8">
      <c r="G806" s="33"/>
      <c r="H806" s="33"/>
    </row>
    <row r="807" spans="7:8">
      <c r="G807" s="33"/>
      <c r="H807" s="33"/>
    </row>
    <row r="808" spans="7:8">
      <c r="G808" s="33"/>
      <c r="H808" s="33"/>
    </row>
    <row r="809" spans="7:8">
      <c r="G809" s="33"/>
      <c r="H809" s="33"/>
    </row>
    <row r="810" spans="7:8">
      <c r="G810" s="33"/>
      <c r="H810" s="33"/>
    </row>
    <row r="811" spans="7:8">
      <c r="G811" s="33"/>
      <c r="H811" s="33"/>
    </row>
    <row r="812" spans="7:8">
      <c r="G812" s="33"/>
      <c r="H812" s="33"/>
    </row>
    <row r="813" spans="7:8">
      <c r="G813" s="33"/>
      <c r="H813" s="33"/>
    </row>
    <row r="814" spans="7:8">
      <c r="G814" s="33"/>
      <c r="H814" s="33"/>
    </row>
    <row r="815" spans="7:8">
      <c r="G815" s="33"/>
      <c r="H815" s="33"/>
    </row>
    <row r="816" spans="7:8">
      <c r="G816" s="33"/>
      <c r="H816" s="33"/>
    </row>
    <row r="817" spans="7:8">
      <c r="G817" s="33"/>
      <c r="H817" s="33"/>
    </row>
    <row r="818" spans="7:8">
      <c r="G818" s="33"/>
      <c r="H818" s="33"/>
    </row>
    <row r="819" spans="7:8">
      <c r="G819" s="33"/>
      <c r="H819" s="33"/>
    </row>
    <row r="820" spans="7:8">
      <c r="G820" s="33"/>
      <c r="H820" s="33"/>
    </row>
    <row r="821" spans="7:8">
      <c r="G821" s="33"/>
      <c r="H821" s="33"/>
    </row>
    <row r="822" spans="7:8">
      <c r="G822" s="33"/>
      <c r="H822" s="33"/>
    </row>
    <row r="823" spans="7:8">
      <c r="G823" s="33"/>
      <c r="H823" s="33"/>
    </row>
    <row r="824" spans="7:8">
      <c r="G824" s="33"/>
      <c r="H824" s="33"/>
    </row>
    <row r="825" spans="7:8">
      <c r="G825" s="33"/>
      <c r="H825" s="33"/>
    </row>
    <row r="826" spans="7:8">
      <c r="G826" s="33"/>
      <c r="H826" s="33"/>
    </row>
    <row r="827" spans="7:8">
      <c r="G827" s="33"/>
      <c r="H827" s="33"/>
    </row>
    <row r="828" spans="7:8">
      <c r="G828" s="33"/>
      <c r="H828" s="33"/>
    </row>
    <row r="829" spans="7:8">
      <c r="G829" s="33"/>
      <c r="H829" s="33"/>
    </row>
    <row r="830" spans="7:8">
      <c r="G830" s="33"/>
      <c r="H830" s="33"/>
    </row>
    <row r="831" spans="7:8">
      <c r="G831" s="33"/>
      <c r="H831" s="33"/>
    </row>
    <row r="832" spans="7:8">
      <c r="G832" s="33"/>
      <c r="H832" s="33"/>
    </row>
    <row r="833" spans="7:8">
      <c r="G833" s="33"/>
      <c r="H833" s="33"/>
    </row>
    <row r="834" spans="7:8">
      <c r="G834" s="33"/>
      <c r="H834" s="33"/>
    </row>
    <row r="835" spans="7:8">
      <c r="G835" s="33"/>
      <c r="H835" s="33"/>
    </row>
    <row r="836" spans="7:8">
      <c r="G836" s="33"/>
      <c r="H836" s="33"/>
    </row>
    <row r="837" spans="7:8">
      <c r="G837" s="33"/>
      <c r="H837" s="33"/>
    </row>
    <row r="838" spans="7:8">
      <c r="G838" s="33"/>
      <c r="H838" s="33"/>
    </row>
    <row r="839" spans="7:8">
      <c r="G839" s="33"/>
      <c r="H839" s="33"/>
    </row>
    <row r="840" spans="7:8">
      <c r="G840" s="33"/>
      <c r="H840" s="33"/>
    </row>
    <row r="841" spans="7:8">
      <c r="G841" s="33"/>
      <c r="H841" s="33"/>
    </row>
    <row r="842" spans="7:8">
      <c r="G842" s="33"/>
      <c r="H842" s="33"/>
    </row>
    <row r="843" spans="7:8">
      <c r="G843" s="33"/>
      <c r="H843" s="33"/>
    </row>
    <row r="844" spans="7:8">
      <c r="G844" s="33"/>
      <c r="H844" s="33"/>
    </row>
    <row r="845" spans="7:8">
      <c r="G845" s="33"/>
      <c r="H845" s="33"/>
    </row>
    <row r="846" spans="7:8">
      <c r="G846" s="33"/>
      <c r="H846" s="33"/>
    </row>
    <row r="847" spans="7:8">
      <c r="G847" s="33"/>
      <c r="H847" s="33"/>
    </row>
    <row r="848" spans="7:8">
      <c r="G848" s="33"/>
      <c r="H848" s="33"/>
    </row>
    <row r="849" spans="7:8">
      <c r="G849" s="33"/>
      <c r="H849" s="33"/>
    </row>
    <row r="850" spans="7:8">
      <c r="G850" s="33"/>
      <c r="H850" s="33"/>
    </row>
    <row r="851" spans="7:8">
      <c r="G851" s="33"/>
      <c r="H851" s="33"/>
    </row>
    <row r="852" spans="7:8">
      <c r="G852" s="33"/>
      <c r="H852" s="33"/>
    </row>
    <row r="853" spans="7:8">
      <c r="G853" s="33"/>
      <c r="H853" s="33"/>
    </row>
    <row r="854" spans="7:8">
      <c r="G854" s="33"/>
      <c r="H854" s="33"/>
    </row>
    <row r="855" spans="7:8">
      <c r="G855" s="33"/>
      <c r="H855" s="33"/>
    </row>
    <row r="856" spans="7:8">
      <c r="G856" s="33"/>
      <c r="H856" s="33"/>
    </row>
    <row r="857" spans="7:8">
      <c r="G857" s="33"/>
      <c r="H857" s="33"/>
    </row>
    <row r="858" spans="7:8">
      <c r="G858" s="33"/>
      <c r="H858" s="33"/>
    </row>
    <row r="859" spans="7:8">
      <c r="G859" s="33"/>
      <c r="H859" s="33"/>
    </row>
    <row r="860" spans="7:8">
      <c r="G860" s="33"/>
      <c r="H860" s="33"/>
    </row>
    <row r="861" spans="7:8">
      <c r="G861" s="33"/>
      <c r="H861" s="33"/>
    </row>
    <row r="862" spans="7:8">
      <c r="G862" s="33"/>
      <c r="H862" s="33"/>
    </row>
    <row r="863" spans="7:8">
      <c r="G863" s="33"/>
      <c r="H863" s="33"/>
    </row>
    <row r="864" spans="7:8">
      <c r="G864" s="33"/>
      <c r="H864" s="33"/>
    </row>
    <row r="865" spans="7:8">
      <c r="G865" s="33"/>
      <c r="H865" s="33"/>
    </row>
    <row r="866" spans="7:8">
      <c r="G866" s="33"/>
      <c r="H866" s="33"/>
    </row>
    <row r="867" spans="7:8">
      <c r="G867" s="33"/>
      <c r="H867" s="33"/>
    </row>
    <row r="868" spans="7:8">
      <c r="G868" s="33"/>
      <c r="H868" s="33"/>
    </row>
    <row r="869" spans="7:8">
      <c r="G869" s="33"/>
      <c r="H869" s="33"/>
    </row>
    <row r="870" spans="7:8">
      <c r="G870" s="33"/>
      <c r="H870" s="33"/>
    </row>
    <row r="871" spans="7:8">
      <c r="G871" s="33"/>
      <c r="H871" s="33"/>
    </row>
    <row r="872" spans="7:8">
      <c r="G872" s="33"/>
      <c r="H872" s="33"/>
    </row>
    <row r="873" spans="7:8">
      <c r="G873" s="33"/>
      <c r="H873" s="33"/>
    </row>
    <row r="874" spans="7:8">
      <c r="G874" s="33"/>
      <c r="H874" s="33"/>
    </row>
    <row r="875" spans="7:8">
      <c r="G875" s="33"/>
      <c r="H875" s="33"/>
    </row>
    <row r="876" spans="7:8">
      <c r="G876" s="33"/>
      <c r="H876" s="33"/>
    </row>
    <row r="877" spans="7:8">
      <c r="G877" s="33"/>
      <c r="H877" s="33"/>
    </row>
    <row r="878" spans="7:8">
      <c r="G878" s="33"/>
      <c r="H878" s="33"/>
    </row>
    <row r="879" spans="7:8">
      <c r="G879" s="33"/>
      <c r="H879" s="33"/>
    </row>
    <row r="880" spans="7:8">
      <c r="G880" s="33"/>
      <c r="H880" s="33"/>
    </row>
    <row r="881" spans="7:8">
      <c r="G881" s="33"/>
      <c r="H881" s="33"/>
    </row>
    <row r="882" spans="7:8">
      <c r="G882" s="33"/>
      <c r="H882" s="33"/>
    </row>
    <row r="883" spans="7:8">
      <c r="G883" s="33"/>
      <c r="H883" s="33"/>
    </row>
    <row r="884" spans="7:8">
      <c r="G884" s="33"/>
      <c r="H884" s="33"/>
    </row>
    <row r="885" spans="7:8">
      <c r="G885" s="33"/>
      <c r="H885" s="33"/>
    </row>
    <row r="886" spans="7:8">
      <c r="G886" s="33"/>
      <c r="H886" s="33"/>
    </row>
    <row r="887" spans="7:8">
      <c r="G887" s="33"/>
      <c r="H887" s="33"/>
    </row>
    <row r="888" spans="7:8">
      <c r="G888" s="33"/>
      <c r="H888" s="33"/>
    </row>
    <row r="889" spans="7:8">
      <c r="G889" s="33"/>
      <c r="H889" s="33"/>
    </row>
    <row r="890" spans="7:8">
      <c r="G890" s="33"/>
      <c r="H890" s="33"/>
    </row>
    <row r="891" spans="7:8">
      <c r="G891" s="33"/>
      <c r="H891" s="33"/>
    </row>
    <row r="892" spans="7:8">
      <c r="G892" s="33"/>
      <c r="H892" s="33"/>
    </row>
    <row r="893" spans="7:8">
      <c r="G893" s="33"/>
      <c r="H893" s="33"/>
    </row>
    <row r="894" spans="7:8">
      <c r="G894" s="33"/>
      <c r="H894" s="33"/>
    </row>
    <row r="895" spans="7:8">
      <c r="G895" s="33"/>
      <c r="H895" s="33"/>
    </row>
    <row r="896" spans="7:8">
      <c r="G896" s="33"/>
      <c r="H896" s="33"/>
    </row>
    <row r="897" spans="7:8">
      <c r="G897" s="33"/>
      <c r="H897" s="33"/>
    </row>
    <row r="898" spans="7:8">
      <c r="G898" s="33"/>
      <c r="H898" s="33"/>
    </row>
    <row r="899" spans="7:8">
      <c r="G899" s="33"/>
      <c r="H899" s="33"/>
    </row>
    <row r="900" spans="7:8">
      <c r="G900" s="33"/>
      <c r="H900" s="33"/>
    </row>
    <row r="901" spans="7:8">
      <c r="G901" s="33"/>
      <c r="H901" s="33"/>
    </row>
    <row r="902" spans="7:8">
      <c r="G902" s="33"/>
      <c r="H902" s="33"/>
    </row>
    <row r="903" spans="7:8">
      <c r="G903" s="33"/>
      <c r="H903" s="33"/>
    </row>
    <row r="904" spans="7:8">
      <c r="G904" s="33"/>
      <c r="H904" s="33"/>
    </row>
    <row r="905" spans="7:8">
      <c r="G905" s="33"/>
      <c r="H905" s="33"/>
    </row>
    <row r="906" spans="7:8">
      <c r="G906" s="33"/>
      <c r="H906" s="33"/>
    </row>
    <row r="907" spans="7:8">
      <c r="G907" s="33"/>
      <c r="H907" s="33"/>
    </row>
    <row r="908" spans="7:8">
      <c r="G908" s="33"/>
      <c r="H908" s="33"/>
    </row>
    <row r="909" spans="7:8">
      <c r="G909" s="33"/>
      <c r="H909" s="33"/>
    </row>
    <row r="910" spans="7:8">
      <c r="G910" s="33"/>
      <c r="H910" s="33"/>
    </row>
    <row r="911" spans="7:8">
      <c r="G911" s="33"/>
      <c r="H911" s="33"/>
    </row>
    <row r="912" spans="7:8">
      <c r="G912" s="33"/>
      <c r="H912" s="33"/>
    </row>
    <row r="913" spans="7:8">
      <c r="G913" s="33"/>
      <c r="H913" s="33"/>
    </row>
    <row r="914" spans="7:8">
      <c r="G914" s="33"/>
      <c r="H914" s="33"/>
    </row>
    <row r="915" spans="7:8">
      <c r="G915" s="33"/>
      <c r="H915" s="33"/>
    </row>
    <row r="916" spans="7:8">
      <c r="G916" s="33"/>
      <c r="H916" s="33"/>
    </row>
    <row r="917" spans="7:8">
      <c r="G917" s="33"/>
      <c r="H917" s="33"/>
    </row>
    <row r="918" spans="7:8">
      <c r="G918" s="33"/>
      <c r="H918" s="33"/>
    </row>
    <row r="919" spans="7:8">
      <c r="G919" s="33"/>
      <c r="H919" s="33"/>
    </row>
    <row r="920" spans="7:8">
      <c r="G920" s="33"/>
      <c r="H920" s="33"/>
    </row>
    <row r="921" spans="7:8">
      <c r="G921" s="33"/>
      <c r="H921" s="33"/>
    </row>
    <row r="922" spans="7:8">
      <c r="G922" s="33"/>
      <c r="H922" s="33"/>
    </row>
    <row r="923" spans="7:8">
      <c r="G923" s="33"/>
      <c r="H923" s="33"/>
    </row>
    <row r="924" spans="7:8">
      <c r="G924" s="33"/>
      <c r="H924" s="33"/>
    </row>
    <row r="925" spans="7:8">
      <c r="G925" s="33"/>
      <c r="H925" s="33"/>
    </row>
    <row r="926" spans="7:8">
      <c r="G926" s="33"/>
      <c r="H926" s="33"/>
    </row>
    <row r="927" spans="7:8">
      <c r="G927" s="33"/>
      <c r="H927" s="33"/>
    </row>
    <row r="928" spans="7:8">
      <c r="G928" s="33"/>
      <c r="H928" s="33"/>
    </row>
    <row r="929" spans="7:8">
      <c r="G929" s="33"/>
      <c r="H929" s="33"/>
    </row>
    <row r="930" spans="7:8">
      <c r="G930" s="33"/>
      <c r="H930" s="33"/>
    </row>
    <row r="931" spans="7:8">
      <c r="G931" s="33"/>
      <c r="H931" s="33"/>
    </row>
    <row r="932" spans="7:8">
      <c r="G932" s="33"/>
      <c r="H932" s="33"/>
    </row>
    <row r="933" spans="7:8">
      <c r="G933" s="33"/>
      <c r="H933" s="33"/>
    </row>
    <row r="934" spans="7:8">
      <c r="G934" s="33"/>
      <c r="H934" s="33"/>
    </row>
    <row r="935" spans="7:8">
      <c r="G935" s="33"/>
      <c r="H935" s="33"/>
    </row>
    <row r="936" spans="7:8">
      <c r="G936" s="33"/>
      <c r="H936" s="33"/>
    </row>
    <row r="937" spans="7:8">
      <c r="G937" s="33"/>
      <c r="H937" s="33"/>
    </row>
    <row r="938" spans="7:8">
      <c r="G938" s="33"/>
      <c r="H938" s="33"/>
    </row>
    <row r="939" spans="7:8">
      <c r="G939" s="33"/>
      <c r="H939" s="33"/>
    </row>
    <row r="940" spans="7:8">
      <c r="G940" s="33"/>
      <c r="H940" s="33"/>
    </row>
    <row r="941" spans="7:8">
      <c r="G941" s="33"/>
      <c r="H941" s="33"/>
    </row>
    <row r="942" spans="7:8">
      <c r="G942" s="33"/>
      <c r="H942" s="33"/>
    </row>
    <row r="943" spans="7:8">
      <c r="G943" s="33"/>
      <c r="H943" s="33"/>
    </row>
    <row r="944" spans="7:8">
      <c r="G944" s="33"/>
      <c r="H944" s="33"/>
    </row>
    <row r="945" spans="7:8">
      <c r="G945" s="33"/>
      <c r="H945" s="33"/>
    </row>
    <row r="946" spans="7:8">
      <c r="G946" s="33"/>
      <c r="H946" s="33"/>
    </row>
    <row r="947" spans="7:8">
      <c r="G947" s="33"/>
      <c r="H947" s="33"/>
    </row>
    <row r="948" spans="7:8">
      <c r="G948" s="33"/>
      <c r="H948" s="33"/>
    </row>
    <row r="949" spans="7:8">
      <c r="G949" s="33"/>
      <c r="H949" s="33"/>
    </row>
    <row r="950" spans="7:8">
      <c r="G950" s="33"/>
      <c r="H950" s="33"/>
    </row>
    <row r="951" spans="7:8">
      <c r="G951" s="33"/>
      <c r="H951" s="33"/>
    </row>
    <row r="952" spans="7:8">
      <c r="G952" s="33"/>
      <c r="H952" s="33"/>
    </row>
    <row r="953" spans="7:8">
      <c r="G953" s="33"/>
      <c r="H953" s="33"/>
    </row>
    <row r="954" spans="7:8">
      <c r="G954" s="33"/>
      <c r="H954" s="33"/>
    </row>
    <row r="955" spans="7:8">
      <c r="G955" s="33"/>
      <c r="H955" s="33"/>
    </row>
    <row r="956" spans="7:8">
      <c r="G956" s="33"/>
      <c r="H956" s="33"/>
    </row>
    <row r="957" spans="7:8">
      <c r="G957" s="33"/>
      <c r="H957" s="33"/>
    </row>
    <row r="958" spans="7:8">
      <c r="G958" s="33"/>
      <c r="H958" s="33"/>
    </row>
    <row r="959" spans="7:8">
      <c r="G959" s="33"/>
      <c r="H959" s="33"/>
    </row>
    <row r="960" spans="7:8">
      <c r="G960" s="33"/>
      <c r="H960" s="33"/>
    </row>
    <row r="961" spans="7:8">
      <c r="G961" s="33"/>
      <c r="H961" s="33"/>
    </row>
    <row r="962" spans="7:8">
      <c r="G962" s="33"/>
      <c r="H962" s="33"/>
    </row>
    <row r="963" spans="7:8">
      <c r="G963" s="33"/>
      <c r="H963" s="33"/>
    </row>
    <row r="964" spans="7:8">
      <c r="G964" s="33"/>
      <c r="H964" s="33"/>
    </row>
    <row r="965" spans="7:8">
      <c r="G965" s="33"/>
      <c r="H965" s="33"/>
    </row>
    <row r="966" spans="7:8">
      <c r="G966" s="33"/>
      <c r="H966" s="33"/>
    </row>
    <row r="967" spans="7:8">
      <c r="G967" s="33"/>
      <c r="H967" s="33"/>
    </row>
    <row r="968" spans="7:8">
      <c r="G968" s="33"/>
      <c r="H968" s="33"/>
    </row>
    <row r="969" spans="7:8">
      <c r="G969" s="33"/>
      <c r="H969" s="33"/>
    </row>
    <row r="970" spans="7:8">
      <c r="G970" s="33"/>
      <c r="H970" s="33"/>
    </row>
    <row r="971" spans="7:8">
      <c r="G971" s="33"/>
      <c r="H971" s="33"/>
    </row>
    <row r="972" spans="7:8">
      <c r="G972" s="33"/>
      <c r="H972" s="33"/>
    </row>
    <row r="973" spans="7:8">
      <c r="G973" s="33"/>
      <c r="H973" s="33"/>
    </row>
    <row r="974" spans="7:8">
      <c r="G974" s="33"/>
      <c r="H974" s="33"/>
    </row>
    <row r="975" spans="7:8">
      <c r="G975" s="33"/>
      <c r="H975" s="33"/>
    </row>
    <row r="976" spans="7:8">
      <c r="G976" s="33"/>
      <c r="H976" s="33"/>
    </row>
    <row r="977" spans="7:8">
      <c r="G977" s="33"/>
      <c r="H977" s="33"/>
    </row>
    <row r="978" spans="7:8">
      <c r="G978" s="33"/>
      <c r="H978" s="33"/>
    </row>
    <row r="979" spans="7:8">
      <c r="G979" s="33"/>
      <c r="H979" s="33"/>
    </row>
    <row r="980" spans="7:8">
      <c r="G980" s="33"/>
      <c r="H980" s="33"/>
    </row>
    <row r="981" spans="7:8">
      <c r="G981" s="33"/>
      <c r="H981" s="33"/>
    </row>
    <row r="982" spans="7:8">
      <c r="G982" s="33"/>
      <c r="H982" s="33"/>
    </row>
    <row r="983" spans="7:8">
      <c r="G983" s="33"/>
      <c r="H983" s="33"/>
    </row>
    <row r="984" spans="7:8">
      <c r="G984" s="33"/>
      <c r="H984" s="33"/>
    </row>
    <row r="985" spans="7:8">
      <c r="G985" s="33"/>
      <c r="H985" s="33"/>
    </row>
    <row r="986" spans="7:8">
      <c r="G986" s="33"/>
      <c r="H986" s="33"/>
    </row>
    <row r="987" spans="7:8">
      <c r="G987" s="33"/>
      <c r="H987" s="33"/>
    </row>
    <row r="988" spans="7:8">
      <c r="G988" s="33"/>
      <c r="H988" s="33"/>
    </row>
    <row r="989" spans="7:8">
      <c r="G989" s="33"/>
      <c r="H989" s="33"/>
    </row>
    <row r="990" spans="7:8">
      <c r="G990" s="33"/>
      <c r="H990" s="33"/>
    </row>
    <row r="991" spans="7:8">
      <c r="G991" s="33"/>
      <c r="H991" s="33"/>
    </row>
    <row r="992" spans="7:8">
      <c r="G992" s="33"/>
      <c r="H992" s="33"/>
    </row>
    <row r="993" spans="7:8">
      <c r="G993" s="33"/>
      <c r="H993" s="33"/>
    </row>
    <row r="994" spans="7:8">
      <c r="G994" s="33"/>
      <c r="H994" s="33"/>
    </row>
    <row r="995" spans="7:8">
      <c r="G995" s="33"/>
      <c r="H995" s="33"/>
    </row>
    <row r="996" spans="7:8">
      <c r="G996" s="33"/>
      <c r="H996" s="33"/>
    </row>
    <row r="997" spans="7:8">
      <c r="G997" s="33"/>
      <c r="H997" s="33"/>
    </row>
    <row r="998" spans="7:8">
      <c r="G998" s="33"/>
      <c r="H998" s="33"/>
    </row>
    <row r="999" spans="7:8">
      <c r="G999" s="33"/>
      <c r="H999" s="33"/>
    </row>
    <row r="1000" spans="7:8">
      <c r="G1000" s="33"/>
      <c r="H1000" s="33"/>
    </row>
    <row r="1001" spans="7:8">
      <c r="G1001" s="33"/>
      <c r="H1001" s="33"/>
    </row>
    <row r="1002" spans="7:8">
      <c r="G1002" s="33"/>
      <c r="H1002" s="33"/>
    </row>
    <row r="1003" spans="7:8">
      <c r="G1003" s="33"/>
      <c r="H1003" s="33"/>
    </row>
    <row r="1004" spans="7:8">
      <c r="G1004" s="33"/>
      <c r="H1004" s="33"/>
    </row>
    <row r="1005" spans="7:8">
      <c r="G1005" s="33"/>
      <c r="H1005" s="33"/>
    </row>
    <row r="1006" spans="7:8">
      <c r="G1006" s="33"/>
      <c r="H1006" s="33"/>
    </row>
    <row r="1007" spans="7:8">
      <c r="G1007" s="33"/>
      <c r="H1007" s="33"/>
    </row>
    <row r="1008" spans="7:8">
      <c r="G1008" s="33"/>
      <c r="H1008" s="33"/>
    </row>
    <row r="1009" spans="7:8">
      <c r="G1009" s="33"/>
      <c r="H1009" s="33"/>
    </row>
    <row r="1010" spans="7:8">
      <c r="G1010" s="33"/>
      <c r="H1010" s="33"/>
    </row>
    <row r="1011" spans="7:8">
      <c r="G1011" s="33"/>
      <c r="H1011" s="33"/>
    </row>
    <row r="1012" spans="7:8">
      <c r="G1012" s="33"/>
      <c r="H1012" s="33"/>
    </row>
    <row r="1013" spans="7:8">
      <c r="G1013" s="33"/>
      <c r="H1013" s="33"/>
    </row>
    <row r="1014" spans="7:8">
      <c r="G1014" s="33"/>
      <c r="H1014" s="33"/>
    </row>
    <row r="1015" spans="7:8">
      <c r="G1015" s="33"/>
      <c r="H1015" s="33"/>
    </row>
    <row r="1016" spans="7:8">
      <c r="G1016" s="33"/>
      <c r="H1016" s="33"/>
    </row>
    <row r="1017" spans="7:8">
      <c r="G1017" s="33"/>
      <c r="H1017" s="33"/>
    </row>
    <row r="1018" spans="7:8">
      <c r="G1018" s="33"/>
      <c r="H1018" s="33"/>
    </row>
    <row r="1019" spans="7:8">
      <c r="G1019" s="33"/>
      <c r="H1019" s="33"/>
    </row>
    <row r="1020" spans="7:8">
      <c r="G1020" s="33"/>
      <c r="H1020" s="33"/>
    </row>
    <row r="1021" spans="7:8">
      <c r="G1021" s="33"/>
      <c r="H1021" s="33"/>
    </row>
    <row r="1022" spans="7:8">
      <c r="G1022" s="33"/>
      <c r="H1022" s="33"/>
    </row>
    <row r="1023" spans="7:8">
      <c r="G1023" s="33"/>
      <c r="H1023" s="33"/>
    </row>
    <row r="1024" spans="7:8">
      <c r="G1024" s="33"/>
      <c r="H1024" s="33"/>
    </row>
    <row r="1025" spans="7:8">
      <c r="G1025" s="33"/>
      <c r="H1025" s="33"/>
    </row>
    <row r="1026" spans="7:8">
      <c r="G1026" s="33"/>
      <c r="H1026" s="33"/>
    </row>
    <row r="1027" spans="7:8">
      <c r="G1027" s="33"/>
      <c r="H1027" s="33"/>
    </row>
    <row r="1028" spans="7:8">
      <c r="G1028" s="33"/>
      <c r="H1028" s="33"/>
    </row>
    <row r="1029" spans="7:8">
      <c r="G1029" s="33"/>
      <c r="H1029" s="33"/>
    </row>
    <row r="1030" spans="7:8">
      <c r="G1030" s="33"/>
      <c r="H1030" s="33"/>
    </row>
    <row r="1031" spans="7:8">
      <c r="G1031" s="33"/>
      <c r="H1031" s="33"/>
    </row>
    <row r="1032" spans="7:8">
      <c r="G1032" s="33"/>
      <c r="H1032" s="33"/>
    </row>
    <row r="1033" spans="7:8">
      <c r="G1033" s="33"/>
      <c r="H1033" s="33"/>
    </row>
    <row r="1034" spans="7:8">
      <c r="G1034" s="33"/>
      <c r="H1034" s="33"/>
    </row>
    <row r="1035" spans="7:8">
      <c r="G1035" s="33"/>
      <c r="H1035" s="33"/>
    </row>
    <row r="1036" spans="7:8">
      <c r="G1036" s="33"/>
      <c r="H1036" s="33"/>
    </row>
    <row r="1037" spans="7:8">
      <c r="G1037" s="33"/>
      <c r="H1037" s="33"/>
    </row>
    <row r="1038" spans="7:8">
      <c r="G1038" s="33"/>
      <c r="H1038" s="33"/>
    </row>
    <row r="1039" spans="7:8">
      <c r="G1039" s="33"/>
      <c r="H1039" s="33"/>
    </row>
    <row r="1040" spans="7:8">
      <c r="G1040" s="33"/>
      <c r="H1040" s="33"/>
    </row>
    <row r="1041" spans="7:8">
      <c r="G1041" s="33"/>
      <c r="H1041" s="33"/>
    </row>
    <row r="1042" spans="7:8">
      <c r="G1042" s="33"/>
      <c r="H1042" s="33"/>
    </row>
    <row r="1043" spans="7:8">
      <c r="G1043" s="33"/>
      <c r="H1043" s="33"/>
    </row>
    <row r="1044" spans="7:8">
      <c r="G1044" s="33"/>
      <c r="H1044" s="33"/>
    </row>
    <row r="1045" spans="7:8">
      <c r="G1045" s="33"/>
      <c r="H1045" s="33"/>
    </row>
    <row r="1046" spans="7:8">
      <c r="G1046" s="33"/>
      <c r="H1046" s="33"/>
    </row>
    <row r="1047" spans="7:8">
      <c r="G1047" s="33"/>
      <c r="H1047" s="33"/>
    </row>
    <row r="1048" spans="7:8">
      <c r="G1048" s="33"/>
      <c r="H1048" s="33"/>
    </row>
    <row r="1049" spans="7:8">
      <c r="G1049" s="33"/>
      <c r="H1049" s="33"/>
    </row>
    <row r="1050" spans="7:8">
      <c r="G1050" s="33"/>
      <c r="H1050" s="33"/>
    </row>
    <row r="1051" spans="7:8">
      <c r="G1051" s="33"/>
      <c r="H1051" s="33"/>
    </row>
    <row r="1052" spans="7:8">
      <c r="G1052" s="33"/>
      <c r="H1052" s="33"/>
    </row>
    <row r="1053" spans="7:8">
      <c r="G1053" s="33"/>
      <c r="H1053" s="33"/>
    </row>
    <row r="1054" spans="7:8">
      <c r="G1054" s="33"/>
      <c r="H1054" s="33"/>
    </row>
    <row r="1055" spans="7:8">
      <c r="G1055" s="33"/>
      <c r="H1055" s="33"/>
    </row>
    <row r="1056" spans="7:8">
      <c r="G1056" s="33"/>
      <c r="H1056" s="33"/>
    </row>
    <row r="1057" spans="7:8">
      <c r="G1057" s="33"/>
      <c r="H1057" s="33"/>
    </row>
    <row r="1058" spans="7:8">
      <c r="G1058" s="33"/>
      <c r="H1058" s="33"/>
    </row>
    <row r="1059" spans="7:8">
      <c r="G1059" s="33"/>
      <c r="H1059" s="33"/>
    </row>
    <row r="1060" spans="7:8">
      <c r="G1060" s="33"/>
      <c r="H1060" s="33"/>
    </row>
    <row r="1061" spans="7:8">
      <c r="G1061" s="33"/>
      <c r="H1061" s="33"/>
    </row>
    <row r="1062" spans="7:8">
      <c r="G1062" s="33"/>
      <c r="H1062" s="33"/>
    </row>
    <row r="1063" spans="7:8">
      <c r="G1063" s="33"/>
      <c r="H1063" s="33"/>
    </row>
    <row r="1064" spans="7:8">
      <c r="G1064" s="33"/>
      <c r="H1064" s="33"/>
    </row>
    <row r="1065" spans="7:8">
      <c r="G1065" s="33"/>
      <c r="H1065" s="33"/>
    </row>
    <row r="1066" spans="7:8">
      <c r="G1066" s="33"/>
      <c r="H1066" s="33"/>
    </row>
    <row r="1067" spans="7:8">
      <c r="G1067" s="33"/>
      <c r="H1067" s="33"/>
    </row>
    <row r="1068" spans="7:8">
      <c r="G1068" s="33"/>
      <c r="H1068" s="33"/>
    </row>
    <row r="1069" spans="7:8">
      <c r="G1069" s="33"/>
      <c r="H1069" s="33"/>
    </row>
    <row r="1070" spans="7:8">
      <c r="G1070" s="33"/>
      <c r="H1070" s="33"/>
    </row>
    <row r="1071" spans="7:8">
      <c r="G1071" s="33"/>
      <c r="H1071" s="33"/>
    </row>
    <row r="1072" spans="7:8">
      <c r="G1072" s="33"/>
      <c r="H1072" s="33"/>
    </row>
    <row r="1073" spans="7:8">
      <c r="G1073" s="33"/>
      <c r="H1073" s="33"/>
    </row>
    <row r="1074" spans="7:8">
      <c r="G1074" s="33"/>
      <c r="H1074" s="33"/>
    </row>
    <row r="1075" spans="7:8">
      <c r="G1075" s="33"/>
      <c r="H1075" s="33"/>
    </row>
    <row r="1076" spans="7:8">
      <c r="G1076" s="33"/>
      <c r="H1076" s="33"/>
    </row>
    <row r="1077" spans="7:8">
      <c r="G1077" s="33"/>
      <c r="H1077" s="33"/>
    </row>
    <row r="1078" spans="7:8">
      <c r="G1078" s="33"/>
      <c r="H1078" s="33"/>
    </row>
    <row r="1079" spans="7:8">
      <c r="G1079" s="33"/>
      <c r="H1079" s="33"/>
    </row>
    <row r="1080" spans="7:8">
      <c r="G1080" s="33"/>
      <c r="H1080" s="33"/>
    </row>
    <row r="1081" spans="7:8">
      <c r="G1081" s="33"/>
      <c r="H1081" s="33"/>
    </row>
    <row r="1082" spans="7:8">
      <c r="G1082" s="33"/>
      <c r="H1082" s="33"/>
    </row>
    <row r="1083" spans="7:8">
      <c r="G1083" s="33"/>
      <c r="H1083" s="33"/>
    </row>
    <row r="1084" spans="7:8">
      <c r="G1084" s="33"/>
      <c r="H1084" s="33"/>
    </row>
    <row r="1085" spans="7:8">
      <c r="G1085" s="33"/>
      <c r="H1085" s="33"/>
    </row>
    <row r="1086" spans="7:8">
      <c r="G1086" s="33"/>
      <c r="H1086" s="33"/>
    </row>
    <row r="1087" spans="7:8">
      <c r="G1087" s="33"/>
      <c r="H1087" s="33"/>
    </row>
    <row r="1088" spans="7:8">
      <c r="G1088" s="33"/>
      <c r="H1088" s="33"/>
    </row>
    <row r="1089" spans="7:8">
      <c r="G1089" s="33"/>
      <c r="H1089" s="33"/>
    </row>
    <row r="1090" spans="7:8">
      <c r="G1090" s="33"/>
      <c r="H1090" s="33"/>
    </row>
    <row r="1091" spans="7:8">
      <c r="G1091" s="33"/>
      <c r="H1091" s="33"/>
    </row>
    <row r="1092" spans="7:8">
      <c r="G1092" s="33"/>
      <c r="H1092" s="33"/>
    </row>
    <row r="1093" spans="7:8">
      <c r="G1093" s="33"/>
      <c r="H1093" s="33"/>
    </row>
    <row r="1094" spans="7:8">
      <c r="G1094" s="33"/>
      <c r="H1094" s="33"/>
    </row>
    <row r="1095" spans="7:8">
      <c r="G1095" s="33"/>
      <c r="H1095" s="33"/>
    </row>
    <row r="1096" spans="7:8">
      <c r="G1096" s="33"/>
      <c r="H1096" s="33"/>
    </row>
    <row r="1097" spans="7:8">
      <c r="G1097" s="33"/>
      <c r="H1097" s="33"/>
    </row>
    <row r="1098" spans="7:8">
      <c r="G1098" s="33"/>
      <c r="H1098" s="33"/>
    </row>
    <row r="1099" spans="7:8">
      <c r="G1099" s="33"/>
      <c r="H1099" s="33"/>
    </row>
    <row r="1100" spans="7:8">
      <c r="G1100" s="33"/>
      <c r="H1100" s="33"/>
    </row>
    <row r="1101" spans="7:8">
      <c r="G1101" s="33"/>
      <c r="H1101" s="33"/>
    </row>
    <row r="1102" spans="7:8">
      <c r="G1102" s="33"/>
      <c r="H1102" s="33"/>
    </row>
    <row r="1103" spans="7:8">
      <c r="G1103" s="33"/>
      <c r="H1103" s="33"/>
    </row>
    <row r="1104" spans="7:8">
      <c r="G1104" s="33"/>
      <c r="H1104" s="33"/>
    </row>
    <row r="1105" spans="7:8">
      <c r="G1105" s="33"/>
      <c r="H1105" s="33"/>
    </row>
    <row r="1106" spans="7:8">
      <c r="G1106" s="33"/>
      <c r="H1106" s="33"/>
    </row>
    <row r="1107" spans="7:8">
      <c r="G1107" s="33"/>
      <c r="H1107" s="33"/>
    </row>
    <row r="1108" spans="7:8">
      <c r="G1108" s="33"/>
      <c r="H1108" s="33"/>
    </row>
    <row r="1109" spans="7:8">
      <c r="G1109" s="33"/>
      <c r="H1109" s="33"/>
    </row>
    <row r="1110" spans="7:8">
      <c r="G1110" s="33"/>
      <c r="H1110" s="33"/>
    </row>
    <row r="1111" spans="7:8">
      <c r="G1111" s="33"/>
      <c r="H1111" s="33"/>
    </row>
    <row r="1112" spans="7:8">
      <c r="G1112" s="33"/>
      <c r="H1112" s="33"/>
    </row>
    <row r="1113" spans="7:8">
      <c r="G1113" s="33"/>
      <c r="H1113" s="33"/>
    </row>
    <row r="1114" spans="7:8">
      <c r="G1114" s="33"/>
      <c r="H1114" s="33"/>
    </row>
    <row r="1115" spans="7:8">
      <c r="G1115" s="33"/>
      <c r="H1115" s="33"/>
    </row>
    <row r="1116" spans="7:8">
      <c r="G1116" s="33"/>
      <c r="H1116" s="33"/>
    </row>
    <row r="1117" spans="7:8">
      <c r="G1117" s="33"/>
      <c r="H1117" s="33"/>
    </row>
    <row r="1118" spans="7:8">
      <c r="G1118" s="33"/>
      <c r="H1118" s="33"/>
    </row>
    <row r="1119" spans="7:8">
      <c r="G1119" s="33"/>
      <c r="H1119" s="33"/>
    </row>
    <row r="1120" spans="7:8">
      <c r="G1120" s="33"/>
      <c r="H1120" s="33"/>
    </row>
    <row r="1121" spans="7:8">
      <c r="G1121" s="33"/>
      <c r="H1121" s="33"/>
    </row>
    <row r="1122" spans="7:8">
      <c r="G1122" s="33"/>
      <c r="H1122" s="33"/>
    </row>
    <row r="1123" spans="7:8">
      <c r="G1123" s="33"/>
      <c r="H1123" s="33"/>
    </row>
    <row r="1124" spans="7:8">
      <c r="G1124" s="33"/>
      <c r="H1124" s="33"/>
    </row>
    <row r="1125" spans="7:8">
      <c r="G1125" s="33"/>
      <c r="H1125" s="33"/>
    </row>
    <row r="1126" spans="7:8">
      <c r="G1126" s="33"/>
      <c r="H1126" s="33"/>
    </row>
    <row r="1127" spans="7:8">
      <c r="G1127" s="33"/>
      <c r="H1127" s="33"/>
    </row>
    <row r="1128" spans="7:8">
      <c r="G1128" s="33"/>
      <c r="H1128" s="33"/>
    </row>
    <row r="1129" spans="7:8">
      <c r="G1129" s="33"/>
      <c r="H1129" s="33"/>
    </row>
    <row r="1130" spans="7:8">
      <c r="G1130" s="33"/>
      <c r="H1130" s="33"/>
    </row>
    <row r="1131" spans="7:8">
      <c r="G1131" s="33"/>
      <c r="H1131" s="33"/>
    </row>
    <row r="1132" spans="7:8">
      <c r="G1132" s="33"/>
      <c r="H1132" s="33"/>
    </row>
    <row r="1133" spans="7:8">
      <c r="G1133" s="33"/>
      <c r="H1133" s="33"/>
    </row>
    <row r="1134" spans="7:8">
      <c r="G1134" s="33"/>
      <c r="H1134" s="33"/>
    </row>
    <row r="1135" spans="7:8">
      <c r="G1135" s="33"/>
      <c r="H1135" s="33"/>
    </row>
    <row r="1136" spans="7:8">
      <c r="G1136" s="33"/>
      <c r="H1136" s="33"/>
    </row>
    <row r="1137" spans="7:8">
      <c r="G1137" s="33"/>
      <c r="H1137" s="33"/>
    </row>
    <row r="1138" spans="7:8">
      <c r="G1138" s="33"/>
      <c r="H1138" s="33"/>
    </row>
    <row r="1139" spans="7:8">
      <c r="G1139" s="33"/>
      <c r="H1139" s="33"/>
    </row>
    <row r="1140" spans="7:8">
      <c r="G1140" s="33"/>
      <c r="H1140" s="33"/>
    </row>
    <row r="1141" spans="7:8">
      <c r="G1141" s="33"/>
      <c r="H1141" s="33"/>
    </row>
    <row r="1142" spans="7:8">
      <c r="G1142" s="33"/>
      <c r="H1142" s="33"/>
    </row>
    <row r="1143" spans="7:8">
      <c r="G1143" s="33"/>
      <c r="H1143" s="33"/>
    </row>
    <row r="1144" spans="7:8">
      <c r="G1144" s="33"/>
      <c r="H1144" s="33"/>
    </row>
    <row r="1145" spans="7:8">
      <c r="G1145" s="33"/>
      <c r="H1145" s="33"/>
    </row>
    <row r="1146" spans="7:8">
      <c r="G1146" s="33"/>
      <c r="H1146" s="33"/>
    </row>
    <row r="1147" spans="7:8">
      <c r="G1147" s="33"/>
      <c r="H1147" s="33"/>
    </row>
    <row r="1148" spans="7:8">
      <c r="G1148" s="33"/>
      <c r="H1148" s="33"/>
    </row>
    <row r="1149" spans="7:8">
      <c r="G1149" s="33"/>
      <c r="H1149" s="33"/>
    </row>
    <row r="1150" spans="7:8">
      <c r="G1150" s="33"/>
      <c r="H1150" s="33"/>
    </row>
    <row r="1151" spans="7:8">
      <c r="G1151" s="33"/>
      <c r="H1151" s="33"/>
    </row>
    <row r="1152" spans="7:8">
      <c r="G1152" s="33"/>
      <c r="H1152" s="33"/>
    </row>
    <row r="1153" spans="7:8">
      <c r="G1153" s="33"/>
      <c r="H1153" s="33"/>
    </row>
    <row r="1154" spans="7:8">
      <c r="G1154" s="33"/>
      <c r="H1154" s="33"/>
    </row>
    <row r="1155" spans="7:8">
      <c r="G1155" s="33"/>
      <c r="H1155" s="33"/>
    </row>
    <row r="1156" spans="7:8">
      <c r="G1156" s="33"/>
      <c r="H1156" s="33"/>
    </row>
    <row r="1157" spans="7:8">
      <c r="G1157" s="33"/>
      <c r="H1157" s="33"/>
    </row>
    <row r="1158" spans="7:8">
      <c r="G1158" s="33"/>
      <c r="H1158" s="33"/>
    </row>
    <row r="1159" spans="7:8">
      <c r="G1159" s="33"/>
      <c r="H1159" s="33"/>
    </row>
    <row r="1160" spans="7:8">
      <c r="G1160" s="33"/>
      <c r="H1160" s="33"/>
    </row>
    <row r="1161" spans="7:8">
      <c r="G1161" s="33"/>
      <c r="H1161" s="33"/>
    </row>
    <row r="1162" spans="7:8">
      <c r="G1162" s="33"/>
      <c r="H1162" s="33"/>
    </row>
    <row r="1163" spans="7:8">
      <c r="G1163" s="33"/>
      <c r="H1163" s="33"/>
    </row>
    <row r="1164" spans="7:8">
      <c r="G1164" s="33"/>
      <c r="H1164" s="33"/>
    </row>
    <row r="1165" spans="7:8">
      <c r="G1165" s="33"/>
      <c r="H1165" s="33"/>
    </row>
    <row r="1166" spans="7:8">
      <c r="G1166" s="33"/>
      <c r="H1166" s="33"/>
    </row>
    <row r="1167" spans="7:8">
      <c r="G1167" s="33"/>
      <c r="H1167" s="33"/>
    </row>
    <row r="1168" spans="7:8">
      <c r="G1168" s="33"/>
      <c r="H1168" s="33"/>
    </row>
    <row r="1169" spans="7:8">
      <c r="G1169" s="33"/>
      <c r="H1169" s="33"/>
    </row>
    <row r="1170" spans="7:8">
      <c r="G1170" s="33"/>
      <c r="H1170" s="33"/>
    </row>
    <row r="1171" spans="7:8">
      <c r="G1171" s="33"/>
      <c r="H1171" s="33"/>
    </row>
    <row r="1172" spans="7:8">
      <c r="G1172" s="33"/>
      <c r="H1172" s="33"/>
    </row>
    <row r="1173" spans="7:8">
      <c r="G1173" s="33"/>
      <c r="H1173" s="33"/>
    </row>
    <row r="1174" spans="7:8">
      <c r="G1174" s="33"/>
      <c r="H1174" s="33"/>
    </row>
    <row r="1175" spans="7:8">
      <c r="G1175" s="33"/>
      <c r="H1175" s="33"/>
    </row>
    <row r="1176" spans="7:8">
      <c r="G1176" s="33"/>
      <c r="H1176" s="33"/>
    </row>
    <row r="1177" spans="7:8">
      <c r="G1177" s="33"/>
      <c r="H1177" s="33"/>
    </row>
    <row r="1178" spans="7:8">
      <c r="G1178" s="33"/>
      <c r="H1178" s="33"/>
    </row>
    <row r="1179" spans="7:8">
      <c r="G1179" s="33"/>
      <c r="H1179" s="33"/>
    </row>
    <row r="1180" spans="7:8">
      <c r="G1180" s="33"/>
      <c r="H1180" s="33"/>
    </row>
    <row r="1181" spans="7:8">
      <c r="G1181" s="33"/>
      <c r="H1181" s="33"/>
    </row>
    <row r="1182" spans="7:8">
      <c r="G1182" s="33"/>
      <c r="H1182" s="33"/>
    </row>
    <row r="1183" spans="7:8">
      <c r="G1183" s="33"/>
      <c r="H1183" s="33"/>
    </row>
    <row r="1184" spans="7:8">
      <c r="G1184" s="33"/>
      <c r="H1184" s="33"/>
    </row>
    <row r="1185" spans="7:8">
      <c r="G1185" s="33"/>
      <c r="H1185" s="33"/>
    </row>
    <row r="1186" spans="7:8">
      <c r="G1186" s="33"/>
      <c r="H1186" s="33"/>
    </row>
    <row r="1187" spans="7:8">
      <c r="G1187" s="33"/>
      <c r="H1187" s="33"/>
    </row>
    <row r="1188" spans="7:8">
      <c r="G1188" s="33"/>
      <c r="H1188" s="33"/>
    </row>
    <row r="1189" spans="7:8">
      <c r="G1189" s="33"/>
      <c r="H1189" s="33"/>
    </row>
    <row r="1190" spans="7:8">
      <c r="G1190" s="33"/>
      <c r="H1190" s="33"/>
    </row>
    <row r="1191" spans="7:8">
      <c r="G1191" s="33"/>
      <c r="H1191" s="33"/>
    </row>
    <row r="1192" spans="7:8">
      <c r="G1192" s="33"/>
      <c r="H1192" s="33"/>
    </row>
    <row r="1193" spans="7:8">
      <c r="G1193" s="33"/>
      <c r="H1193" s="33"/>
    </row>
    <row r="1194" spans="7:8">
      <c r="G1194" s="33"/>
      <c r="H1194" s="33"/>
    </row>
    <row r="1195" spans="7:8">
      <c r="G1195" s="33"/>
      <c r="H1195" s="33"/>
    </row>
    <row r="1196" spans="7:8">
      <c r="G1196" s="33"/>
      <c r="H1196" s="33"/>
    </row>
    <row r="1197" spans="7:8">
      <c r="G1197" s="33"/>
      <c r="H1197" s="33"/>
    </row>
    <row r="1198" spans="7:8">
      <c r="G1198" s="33"/>
      <c r="H1198" s="33"/>
    </row>
    <row r="1199" spans="7:8">
      <c r="G1199" s="33"/>
      <c r="H1199" s="33"/>
    </row>
    <row r="1200" spans="7:8">
      <c r="G1200" s="33"/>
      <c r="H1200" s="33"/>
    </row>
    <row r="1201" spans="7:8">
      <c r="G1201" s="33"/>
      <c r="H1201" s="33"/>
    </row>
    <row r="1202" spans="7:8">
      <c r="G1202" s="33"/>
      <c r="H1202" s="33"/>
    </row>
    <row r="1203" spans="7:8">
      <c r="G1203" s="33"/>
      <c r="H1203" s="33"/>
    </row>
    <row r="1204" spans="7:8">
      <c r="G1204" s="33"/>
      <c r="H1204" s="33"/>
    </row>
    <row r="1205" spans="7:8">
      <c r="G1205" s="33"/>
      <c r="H1205" s="33"/>
    </row>
    <row r="1206" spans="7:8">
      <c r="G1206" s="33"/>
      <c r="H1206" s="33"/>
    </row>
    <row r="1207" spans="7:8">
      <c r="G1207" s="33"/>
      <c r="H1207" s="33"/>
    </row>
    <row r="1208" spans="7:8">
      <c r="G1208" s="33"/>
      <c r="H1208" s="33"/>
    </row>
    <row r="1209" spans="7:8">
      <c r="G1209" s="33"/>
      <c r="H1209" s="33"/>
    </row>
    <row r="1210" spans="7:8">
      <c r="G1210" s="33"/>
      <c r="H1210" s="33"/>
    </row>
    <row r="1211" spans="7:8">
      <c r="G1211" s="33"/>
      <c r="H1211" s="33"/>
    </row>
    <row r="1212" spans="7:8">
      <c r="G1212" s="33"/>
      <c r="H1212" s="33"/>
    </row>
    <row r="1213" spans="7:8">
      <c r="G1213" s="33"/>
      <c r="H1213" s="33"/>
    </row>
    <row r="1214" spans="7:8">
      <c r="G1214" s="33"/>
      <c r="H1214" s="33"/>
    </row>
    <row r="1215" spans="7:8">
      <c r="G1215" s="33"/>
      <c r="H1215" s="33"/>
    </row>
    <row r="1216" spans="7:8">
      <c r="G1216" s="33"/>
      <c r="H1216" s="33"/>
    </row>
    <row r="1217" spans="7:8">
      <c r="G1217" s="33"/>
      <c r="H1217" s="33"/>
    </row>
    <row r="1218" spans="7:8">
      <c r="G1218" s="33"/>
      <c r="H1218" s="33"/>
    </row>
    <row r="1219" spans="7:8">
      <c r="G1219" s="33"/>
      <c r="H1219" s="33"/>
    </row>
    <row r="1220" spans="7:8">
      <c r="G1220" s="33"/>
      <c r="H1220" s="33"/>
    </row>
    <row r="1221" spans="7:8">
      <c r="G1221" s="33"/>
      <c r="H1221" s="33"/>
    </row>
    <row r="1222" spans="7:8">
      <c r="G1222" s="33"/>
      <c r="H1222" s="33"/>
    </row>
    <row r="1223" spans="7:8">
      <c r="G1223" s="33"/>
      <c r="H1223" s="33"/>
    </row>
    <row r="1224" spans="7:8">
      <c r="G1224" s="33"/>
      <c r="H1224" s="33"/>
    </row>
    <row r="1225" spans="7:8">
      <c r="G1225" s="33"/>
      <c r="H1225" s="33"/>
    </row>
    <row r="1226" spans="7:8">
      <c r="G1226" s="33"/>
      <c r="H1226" s="33"/>
    </row>
    <row r="1227" spans="7:8">
      <c r="G1227" s="33"/>
      <c r="H1227" s="33"/>
    </row>
    <row r="1228" spans="7:8">
      <c r="G1228" s="33"/>
      <c r="H1228" s="33"/>
    </row>
    <row r="1229" spans="7:8">
      <c r="G1229" s="33"/>
      <c r="H1229" s="33"/>
    </row>
    <row r="1230" spans="7:8">
      <c r="G1230" s="33"/>
      <c r="H1230" s="33"/>
    </row>
    <row r="1231" spans="7:8">
      <c r="G1231" s="33"/>
      <c r="H1231" s="33"/>
    </row>
    <row r="1232" spans="7:8">
      <c r="G1232" s="33"/>
      <c r="H1232" s="33"/>
    </row>
    <row r="1233" spans="7:8">
      <c r="G1233" s="33"/>
      <c r="H1233" s="33"/>
    </row>
    <row r="1234" spans="7:8">
      <c r="G1234" s="33"/>
      <c r="H1234" s="33"/>
    </row>
    <row r="1235" spans="7:8">
      <c r="G1235" s="33"/>
      <c r="H1235" s="33"/>
    </row>
    <row r="1236" spans="7:8">
      <c r="G1236" s="33"/>
      <c r="H1236" s="33"/>
    </row>
    <row r="1237" spans="7:8">
      <c r="G1237" s="33"/>
      <c r="H1237" s="33"/>
    </row>
    <row r="1238" spans="7:8">
      <c r="G1238" s="33"/>
      <c r="H1238" s="33"/>
    </row>
    <row r="1239" spans="7:8">
      <c r="G1239" s="33"/>
      <c r="H1239" s="33"/>
    </row>
    <row r="1240" spans="7:8">
      <c r="G1240" s="33"/>
      <c r="H1240" s="33"/>
    </row>
    <row r="1241" spans="7:8">
      <c r="G1241" s="33"/>
      <c r="H1241" s="33"/>
    </row>
    <row r="1242" spans="7:8">
      <c r="G1242" s="33"/>
      <c r="H1242" s="33"/>
    </row>
    <row r="1243" spans="7:8">
      <c r="G1243" s="33"/>
      <c r="H1243" s="33"/>
    </row>
    <row r="1244" spans="7:8">
      <c r="G1244" s="33"/>
      <c r="H1244" s="33"/>
    </row>
    <row r="1245" spans="7:8">
      <c r="G1245" s="33"/>
      <c r="H1245" s="33"/>
    </row>
    <row r="1246" spans="7:8">
      <c r="G1246" s="33"/>
      <c r="H1246" s="33"/>
    </row>
    <row r="1247" spans="7:8">
      <c r="G1247" s="33"/>
      <c r="H1247" s="33"/>
    </row>
    <row r="1248" spans="7:8">
      <c r="G1248" s="33"/>
      <c r="H1248" s="33"/>
    </row>
    <row r="1249" spans="7:8">
      <c r="G1249" s="33"/>
      <c r="H1249" s="33"/>
    </row>
    <row r="1250" spans="7:8">
      <c r="G1250" s="33"/>
      <c r="H1250" s="33"/>
    </row>
    <row r="1251" spans="7:8">
      <c r="G1251" s="33"/>
      <c r="H1251" s="33"/>
    </row>
    <row r="1252" spans="7:8">
      <c r="G1252" s="33"/>
      <c r="H1252" s="33"/>
    </row>
    <row r="1253" spans="7:8">
      <c r="G1253" s="33"/>
      <c r="H1253" s="33"/>
    </row>
    <row r="1254" spans="7:8">
      <c r="G1254" s="33"/>
      <c r="H1254" s="33"/>
    </row>
    <row r="1255" spans="7:8">
      <c r="G1255" s="33"/>
      <c r="H1255" s="33"/>
    </row>
    <row r="1256" spans="7:8">
      <c r="G1256" s="33"/>
      <c r="H1256" s="33"/>
    </row>
    <row r="1257" spans="7:8">
      <c r="G1257" s="33"/>
      <c r="H1257" s="33"/>
    </row>
    <row r="1258" spans="7:8">
      <c r="G1258" s="33"/>
      <c r="H1258" s="33"/>
    </row>
    <row r="1259" spans="7:8">
      <c r="G1259" s="33"/>
      <c r="H1259" s="33"/>
    </row>
    <row r="1260" spans="7:8">
      <c r="G1260" s="33"/>
      <c r="H1260" s="33"/>
    </row>
    <row r="1261" spans="7:8">
      <c r="G1261" s="33"/>
      <c r="H1261" s="33"/>
    </row>
    <row r="1262" spans="7:8">
      <c r="G1262" s="33"/>
      <c r="H1262" s="33"/>
    </row>
    <row r="1263" spans="7:8">
      <c r="G1263" s="33"/>
      <c r="H1263" s="33"/>
    </row>
    <row r="1264" spans="7:8">
      <c r="G1264" s="33"/>
      <c r="H1264" s="33"/>
    </row>
    <row r="1265" spans="7:8">
      <c r="G1265" s="33"/>
      <c r="H1265" s="33"/>
    </row>
    <row r="1266" spans="7:8">
      <c r="G1266" s="33"/>
      <c r="H1266" s="33"/>
    </row>
    <row r="1267" spans="7:8">
      <c r="G1267" s="33"/>
      <c r="H1267" s="33"/>
    </row>
    <row r="1268" spans="7:8">
      <c r="G1268" s="33"/>
      <c r="H1268" s="33"/>
    </row>
    <row r="1269" spans="7:8">
      <c r="G1269" s="33"/>
      <c r="H1269" s="33"/>
    </row>
    <row r="1270" spans="7:8">
      <c r="G1270" s="33"/>
      <c r="H1270" s="33"/>
    </row>
    <row r="1271" spans="7:8">
      <c r="G1271" s="33"/>
      <c r="H1271" s="33"/>
    </row>
    <row r="1272" spans="7:8">
      <c r="G1272" s="33"/>
      <c r="H1272" s="33"/>
    </row>
    <row r="1273" spans="7:8">
      <c r="G1273" s="33"/>
      <c r="H1273" s="33"/>
    </row>
    <row r="1274" spans="7:8">
      <c r="G1274" s="33"/>
      <c r="H1274" s="33"/>
    </row>
    <row r="1275" spans="7:8">
      <c r="G1275" s="33"/>
      <c r="H1275" s="33"/>
    </row>
    <row r="1276" spans="7:8">
      <c r="G1276" s="33"/>
      <c r="H1276" s="33"/>
    </row>
    <row r="1277" spans="7:8">
      <c r="G1277" s="33"/>
      <c r="H1277" s="33"/>
    </row>
    <row r="1278" spans="7:8">
      <c r="G1278" s="33"/>
      <c r="H1278" s="33"/>
    </row>
    <row r="1279" spans="7:8">
      <c r="G1279" s="33"/>
      <c r="H1279" s="33"/>
    </row>
    <row r="1280" spans="7:8">
      <c r="G1280" s="33"/>
      <c r="H1280" s="33"/>
    </row>
    <row r="1281" spans="7:8">
      <c r="G1281" s="33"/>
      <c r="H1281" s="33"/>
    </row>
    <row r="1282" spans="7:8">
      <c r="G1282" s="33"/>
      <c r="H1282" s="33"/>
    </row>
    <row r="1283" spans="7:8">
      <c r="G1283" s="33"/>
      <c r="H1283" s="33"/>
    </row>
    <row r="1284" spans="7:8">
      <c r="G1284" s="33"/>
      <c r="H1284" s="33"/>
    </row>
    <row r="1285" spans="7:8">
      <c r="G1285" s="33"/>
      <c r="H1285" s="33"/>
    </row>
    <row r="1286" spans="7:8">
      <c r="G1286" s="33"/>
      <c r="H1286" s="33"/>
    </row>
    <row r="1287" spans="7:8">
      <c r="G1287" s="33"/>
      <c r="H1287" s="33"/>
    </row>
    <row r="1288" spans="7:8">
      <c r="G1288" s="33"/>
      <c r="H1288" s="33"/>
    </row>
    <row r="1289" spans="7:8">
      <c r="G1289" s="33"/>
      <c r="H1289" s="33"/>
    </row>
    <row r="1290" spans="7:8">
      <c r="G1290" s="33"/>
      <c r="H1290" s="33"/>
    </row>
    <row r="1291" spans="7:8">
      <c r="G1291" s="33"/>
      <c r="H1291" s="33"/>
    </row>
    <row r="1292" spans="7:8">
      <c r="G1292" s="33"/>
      <c r="H1292" s="33"/>
    </row>
    <row r="1293" spans="7:8">
      <c r="G1293" s="33"/>
      <c r="H1293" s="33"/>
    </row>
    <row r="1294" spans="7:8">
      <c r="G1294" s="33"/>
      <c r="H1294" s="33"/>
    </row>
    <row r="1295" spans="7:8">
      <c r="G1295" s="33"/>
      <c r="H1295" s="33"/>
    </row>
    <row r="1296" spans="7:8">
      <c r="G1296" s="33"/>
      <c r="H1296" s="33"/>
    </row>
    <row r="1297" spans="7:8">
      <c r="G1297" s="33"/>
      <c r="H1297" s="33"/>
    </row>
    <row r="1298" spans="7:8">
      <c r="G1298" s="33"/>
      <c r="H1298" s="33"/>
    </row>
    <row r="1299" spans="7:8">
      <c r="G1299" s="33"/>
      <c r="H1299" s="33"/>
    </row>
    <row r="1300" spans="7:8">
      <c r="G1300" s="33"/>
      <c r="H1300" s="33"/>
    </row>
    <row r="1301" spans="7:8">
      <c r="G1301" s="33"/>
      <c r="H1301" s="33"/>
    </row>
    <row r="1302" spans="7:8">
      <c r="G1302" s="33"/>
      <c r="H1302" s="33"/>
    </row>
    <row r="1303" spans="7:8">
      <c r="G1303" s="33"/>
      <c r="H1303" s="33"/>
    </row>
    <row r="1304" spans="7:8">
      <c r="G1304" s="33"/>
      <c r="H1304" s="33"/>
    </row>
    <row r="1305" spans="7:8">
      <c r="G1305" s="33"/>
      <c r="H1305" s="33"/>
    </row>
    <row r="1306" spans="7:8">
      <c r="G1306" s="33"/>
      <c r="H1306" s="33"/>
    </row>
    <row r="1307" spans="7:8">
      <c r="G1307" s="33"/>
      <c r="H1307" s="33"/>
    </row>
    <row r="1308" spans="7:8">
      <c r="G1308" s="33"/>
      <c r="H1308" s="33"/>
    </row>
    <row r="1309" spans="7:8">
      <c r="G1309" s="33"/>
      <c r="H1309" s="33"/>
    </row>
    <row r="1310" spans="7:8">
      <c r="G1310" s="33"/>
      <c r="H1310" s="33"/>
    </row>
    <row r="1311" spans="7:8">
      <c r="G1311" s="33"/>
      <c r="H1311" s="33"/>
    </row>
    <row r="1312" spans="7:8">
      <c r="G1312" s="33"/>
      <c r="H1312" s="33"/>
    </row>
    <row r="1313" spans="7:8">
      <c r="G1313" s="33"/>
      <c r="H1313" s="33"/>
    </row>
    <row r="1314" spans="7:8">
      <c r="G1314" s="33"/>
      <c r="H1314" s="33"/>
    </row>
    <row r="1315" spans="7:8">
      <c r="G1315" s="33"/>
      <c r="H1315" s="33"/>
    </row>
    <row r="1316" spans="7:8">
      <c r="G1316" s="33"/>
      <c r="H1316" s="33"/>
    </row>
    <row r="1317" spans="7:8">
      <c r="G1317" s="33"/>
      <c r="H1317" s="33"/>
    </row>
    <row r="1318" spans="7:8">
      <c r="G1318" s="33"/>
      <c r="H1318" s="33"/>
    </row>
    <row r="1319" spans="7:8">
      <c r="G1319" s="33"/>
      <c r="H1319" s="33"/>
    </row>
    <row r="1320" spans="7:8">
      <c r="G1320" s="33"/>
      <c r="H1320" s="33"/>
    </row>
    <row r="1321" spans="7:8">
      <c r="G1321" s="33"/>
      <c r="H1321" s="33"/>
    </row>
    <row r="1322" spans="7:8">
      <c r="G1322" s="33"/>
      <c r="H1322" s="33"/>
    </row>
    <row r="1323" spans="7:8">
      <c r="G1323" s="33"/>
      <c r="H1323" s="33"/>
    </row>
    <row r="1324" spans="7:8">
      <c r="G1324" s="33"/>
      <c r="H1324" s="33"/>
    </row>
    <row r="1325" spans="7:8">
      <c r="G1325" s="33"/>
      <c r="H1325" s="33"/>
    </row>
    <row r="1326" spans="7:8">
      <c r="G1326" s="33"/>
      <c r="H1326" s="33"/>
    </row>
    <row r="1327" spans="7:8">
      <c r="G1327" s="33"/>
      <c r="H1327" s="33"/>
    </row>
    <row r="1328" spans="7:8">
      <c r="G1328" s="33"/>
      <c r="H1328" s="33"/>
    </row>
    <row r="1329" spans="7:8">
      <c r="G1329" s="33"/>
      <c r="H1329" s="33"/>
    </row>
    <row r="1330" spans="7:8">
      <c r="G1330" s="33"/>
      <c r="H1330" s="33"/>
    </row>
    <row r="1331" spans="7:8">
      <c r="G1331" s="33"/>
      <c r="H1331" s="33"/>
    </row>
    <row r="1332" spans="7:8">
      <c r="G1332" s="33"/>
      <c r="H1332" s="33"/>
    </row>
    <row r="1333" spans="7:8">
      <c r="G1333" s="33"/>
      <c r="H1333" s="33"/>
    </row>
    <row r="1334" spans="7:8">
      <c r="G1334" s="33"/>
      <c r="H1334" s="33"/>
    </row>
    <row r="1335" spans="7:8">
      <c r="G1335" s="33"/>
      <c r="H1335" s="33"/>
    </row>
    <row r="1336" spans="7:8">
      <c r="G1336" s="33"/>
      <c r="H1336" s="33"/>
    </row>
    <row r="1337" spans="7:8">
      <c r="G1337" s="33"/>
      <c r="H1337" s="33"/>
    </row>
    <row r="1338" spans="7:8">
      <c r="G1338" s="33"/>
      <c r="H1338" s="33"/>
    </row>
    <row r="1339" spans="7:8">
      <c r="G1339" s="33"/>
      <c r="H1339" s="33"/>
    </row>
    <row r="1340" spans="7:8">
      <c r="G1340" s="33"/>
      <c r="H1340" s="33"/>
    </row>
    <row r="1341" spans="7:8">
      <c r="G1341" s="33"/>
      <c r="H1341" s="33"/>
    </row>
    <row r="1342" spans="7:8">
      <c r="G1342" s="33"/>
      <c r="H1342" s="33"/>
    </row>
    <row r="1343" spans="7:8">
      <c r="G1343" s="33"/>
      <c r="H1343" s="33"/>
    </row>
    <row r="1344" spans="7:8">
      <c r="G1344" s="33"/>
      <c r="H1344" s="33"/>
    </row>
    <row r="1345" spans="7:8">
      <c r="G1345" s="33"/>
      <c r="H1345" s="33"/>
    </row>
    <row r="1346" spans="7:8">
      <c r="G1346" s="33"/>
      <c r="H1346" s="33"/>
    </row>
    <row r="1347" spans="7:8">
      <c r="G1347" s="33"/>
      <c r="H1347" s="33"/>
    </row>
    <row r="1348" spans="7:8">
      <c r="G1348" s="33"/>
      <c r="H1348" s="33"/>
    </row>
    <row r="1349" spans="7:8">
      <c r="G1349" s="33"/>
      <c r="H1349" s="33"/>
    </row>
    <row r="1350" spans="7:8">
      <c r="G1350" s="33"/>
      <c r="H1350" s="33"/>
    </row>
    <row r="1351" spans="7:8">
      <c r="G1351" s="33"/>
      <c r="H1351" s="33"/>
    </row>
    <row r="1352" spans="7:8">
      <c r="G1352" s="33"/>
      <c r="H1352" s="33"/>
    </row>
    <row r="1353" spans="7:8">
      <c r="G1353" s="33"/>
      <c r="H1353" s="33"/>
    </row>
    <row r="1354" spans="7:8">
      <c r="G1354" s="33"/>
      <c r="H1354" s="33"/>
    </row>
    <row r="1355" spans="7:8">
      <c r="G1355" s="33"/>
      <c r="H1355" s="33"/>
    </row>
    <row r="1356" spans="7:8">
      <c r="G1356" s="33"/>
      <c r="H1356" s="33"/>
    </row>
    <row r="1357" spans="7:8">
      <c r="G1357" s="33"/>
      <c r="H1357" s="33"/>
    </row>
    <row r="1358" spans="7:8">
      <c r="G1358" s="33"/>
      <c r="H1358" s="33"/>
    </row>
    <row r="1359" spans="7:8">
      <c r="G1359" s="33"/>
      <c r="H1359" s="33"/>
    </row>
    <row r="1360" spans="7:8">
      <c r="G1360" s="33"/>
      <c r="H1360" s="33"/>
    </row>
    <row r="1361" spans="7:8">
      <c r="G1361" s="33"/>
      <c r="H1361" s="33"/>
    </row>
    <row r="1362" spans="7:8">
      <c r="G1362" s="33"/>
      <c r="H1362" s="33"/>
    </row>
    <row r="1363" spans="7:8">
      <c r="G1363" s="33"/>
      <c r="H1363" s="33"/>
    </row>
    <row r="1364" spans="7:8">
      <c r="G1364" s="33"/>
      <c r="H1364" s="33"/>
    </row>
    <row r="1365" spans="7:8">
      <c r="G1365" s="33"/>
      <c r="H1365" s="33"/>
    </row>
    <row r="1366" spans="7:8">
      <c r="G1366" s="33"/>
      <c r="H1366" s="33"/>
    </row>
    <row r="1367" spans="7:8">
      <c r="G1367" s="33"/>
      <c r="H1367" s="33"/>
    </row>
    <row r="1368" spans="7:8">
      <c r="G1368" s="33"/>
      <c r="H1368" s="33"/>
    </row>
    <row r="1369" spans="7:8">
      <c r="G1369" s="33"/>
      <c r="H1369" s="33"/>
    </row>
    <row r="1370" spans="7:8">
      <c r="G1370" s="33"/>
      <c r="H1370" s="33"/>
    </row>
    <row r="1371" spans="7:8">
      <c r="G1371" s="33"/>
      <c r="H1371" s="33"/>
    </row>
    <row r="1372" spans="7:8">
      <c r="G1372" s="33"/>
      <c r="H1372" s="33"/>
    </row>
    <row r="1373" spans="7:8">
      <c r="G1373" s="33"/>
      <c r="H1373" s="33"/>
    </row>
    <row r="1374" spans="7:8">
      <c r="G1374" s="33"/>
      <c r="H1374" s="33"/>
    </row>
    <row r="1375" spans="7:8">
      <c r="G1375" s="33"/>
      <c r="H1375" s="33"/>
    </row>
    <row r="1376" spans="7:8">
      <c r="G1376" s="33"/>
      <c r="H1376" s="33"/>
    </row>
    <row r="1377" spans="7:8">
      <c r="G1377" s="33"/>
      <c r="H1377" s="33"/>
    </row>
    <row r="1378" spans="7:8">
      <c r="G1378" s="33"/>
      <c r="H1378" s="33"/>
    </row>
    <row r="1379" spans="7:8">
      <c r="G1379" s="33"/>
      <c r="H1379" s="33"/>
    </row>
    <row r="1380" spans="7:8">
      <c r="G1380" s="33"/>
      <c r="H1380" s="33"/>
    </row>
    <row r="1381" spans="7:8">
      <c r="G1381" s="33"/>
      <c r="H1381" s="33"/>
    </row>
    <row r="1382" spans="7:8">
      <c r="G1382" s="33"/>
      <c r="H1382" s="33"/>
    </row>
    <row r="1383" spans="7:8">
      <c r="G1383" s="33"/>
      <c r="H1383" s="33"/>
    </row>
    <row r="1384" spans="7:8">
      <c r="G1384" s="33"/>
      <c r="H1384" s="33"/>
    </row>
    <row r="1385" spans="7:8">
      <c r="G1385" s="33"/>
      <c r="H1385" s="33"/>
    </row>
    <row r="1386" spans="7:8">
      <c r="G1386" s="33"/>
      <c r="H1386" s="33"/>
    </row>
    <row r="1387" spans="7:8">
      <c r="G1387" s="33"/>
      <c r="H1387" s="33"/>
    </row>
    <row r="1388" spans="7:8">
      <c r="G1388" s="33"/>
      <c r="H1388" s="33"/>
    </row>
    <row r="1389" spans="7:8">
      <c r="G1389" s="33"/>
      <c r="H1389" s="33"/>
    </row>
    <row r="1390" spans="7:8">
      <c r="G1390" s="33"/>
      <c r="H1390" s="33"/>
    </row>
    <row r="1391" spans="7:8">
      <c r="G1391" s="33"/>
      <c r="H1391" s="33"/>
    </row>
    <row r="1392" spans="7:8">
      <c r="G1392" s="33"/>
      <c r="H1392" s="33"/>
    </row>
    <row r="1393" spans="7:8">
      <c r="G1393" s="33"/>
      <c r="H1393" s="33"/>
    </row>
    <row r="1394" spans="7:8">
      <c r="G1394" s="33"/>
      <c r="H1394" s="33"/>
    </row>
    <row r="1395" spans="7:8">
      <c r="G1395" s="33"/>
      <c r="H1395" s="33"/>
    </row>
    <row r="1396" spans="7:8">
      <c r="G1396" s="33"/>
      <c r="H1396" s="33"/>
    </row>
    <row r="1397" spans="7:8">
      <c r="G1397" s="33"/>
      <c r="H1397" s="33"/>
    </row>
    <row r="1398" spans="7:8">
      <c r="G1398" s="33"/>
      <c r="H1398" s="33"/>
    </row>
    <row r="1399" spans="7:8">
      <c r="G1399" s="33"/>
      <c r="H1399" s="33"/>
    </row>
    <row r="1400" spans="7:8">
      <c r="G1400" s="33"/>
      <c r="H1400" s="33"/>
    </row>
    <row r="1401" spans="7:8">
      <c r="G1401" s="33"/>
      <c r="H1401" s="33"/>
    </row>
    <row r="1402" spans="7:8">
      <c r="G1402" s="33"/>
      <c r="H1402" s="33"/>
    </row>
    <row r="1403" spans="7:8">
      <c r="G1403" s="33"/>
      <c r="H1403" s="33"/>
    </row>
    <row r="1404" spans="7:8">
      <c r="G1404" s="33"/>
      <c r="H1404" s="33"/>
    </row>
    <row r="1405" spans="7:8">
      <c r="G1405" s="33"/>
      <c r="H1405" s="33"/>
    </row>
    <row r="1406" spans="7:8">
      <c r="G1406" s="33"/>
      <c r="H1406" s="33"/>
    </row>
    <row r="1407" spans="7:8">
      <c r="G1407" s="33"/>
      <c r="H1407" s="33"/>
    </row>
    <row r="1408" spans="7:8">
      <c r="G1408" s="33"/>
      <c r="H1408" s="33"/>
    </row>
    <row r="1409" spans="7:8">
      <c r="G1409" s="33"/>
      <c r="H1409" s="33"/>
    </row>
    <row r="1410" spans="7:8">
      <c r="G1410" s="33"/>
      <c r="H1410" s="33"/>
    </row>
    <row r="1411" spans="7:8">
      <c r="G1411" s="33"/>
      <c r="H1411" s="33"/>
    </row>
    <row r="1412" spans="7:8">
      <c r="G1412" s="33"/>
      <c r="H1412" s="33"/>
    </row>
    <row r="1413" spans="7:8">
      <c r="G1413" s="33"/>
      <c r="H1413" s="33"/>
    </row>
    <row r="1414" spans="7:8">
      <c r="G1414" s="33"/>
      <c r="H1414" s="33"/>
    </row>
    <row r="1415" spans="7:8">
      <c r="G1415" s="33"/>
      <c r="H1415" s="33"/>
    </row>
    <row r="1416" spans="7:8">
      <c r="G1416" s="33"/>
      <c r="H1416" s="33"/>
    </row>
    <row r="1417" spans="7:8">
      <c r="G1417" s="33"/>
      <c r="H1417" s="33"/>
    </row>
    <row r="1418" spans="7:8">
      <c r="G1418" s="33"/>
      <c r="H1418" s="33"/>
    </row>
    <row r="1419" spans="7:8">
      <c r="G1419" s="33"/>
      <c r="H1419" s="33"/>
    </row>
    <row r="1420" spans="7:8">
      <c r="G1420" s="33"/>
      <c r="H1420" s="33"/>
    </row>
    <row r="1421" spans="7:8">
      <c r="G1421" s="33"/>
      <c r="H1421" s="33"/>
    </row>
    <row r="1422" spans="7:8">
      <c r="G1422" s="33"/>
      <c r="H1422" s="33"/>
    </row>
    <row r="1423" spans="7:8">
      <c r="G1423" s="33"/>
      <c r="H1423" s="33"/>
    </row>
    <row r="1424" spans="7:8">
      <c r="G1424" s="33"/>
      <c r="H1424" s="33"/>
    </row>
    <row r="1425" spans="7:8">
      <c r="G1425" s="33"/>
      <c r="H1425" s="33"/>
    </row>
    <row r="1426" spans="7:8">
      <c r="G1426" s="33"/>
      <c r="H1426" s="33"/>
    </row>
    <row r="1427" spans="7:8">
      <c r="G1427" s="33"/>
      <c r="H1427" s="33"/>
    </row>
    <row r="1428" spans="7:8">
      <c r="G1428" s="33"/>
      <c r="H1428" s="33"/>
    </row>
    <row r="1429" spans="7:8">
      <c r="G1429" s="33"/>
      <c r="H1429" s="33"/>
    </row>
    <row r="1430" spans="7:8">
      <c r="G1430" s="33"/>
      <c r="H1430" s="33"/>
    </row>
    <row r="1431" spans="7:8">
      <c r="G1431" s="33"/>
      <c r="H1431" s="33"/>
    </row>
    <row r="1432" spans="7:8">
      <c r="G1432" s="33"/>
      <c r="H1432" s="33"/>
    </row>
    <row r="1433" spans="7:8">
      <c r="G1433" s="33"/>
      <c r="H1433" s="33"/>
    </row>
    <row r="1434" spans="7:8">
      <c r="G1434" s="33"/>
      <c r="H1434" s="33"/>
    </row>
    <row r="1435" spans="7:8">
      <c r="G1435" s="33"/>
      <c r="H1435" s="33"/>
    </row>
    <row r="1436" spans="7:8">
      <c r="G1436" s="33"/>
      <c r="H1436" s="33"/>
    </row>
    <row r="1437" spans="7:8">
      <c r="G1437" s="33"/>
      <c r="H1437" s="33"/>
    </row>
    <row r="1438" spans="7:8">
      <c r="G1438" s="33"/>
      <c r="H1438" s="33"/>
    </row>
    <row r="1439" spans="7:8">
      <c r="G1439" s="33"/>
      <c r="H1439" s="33"/>
    </row>
    <row r="1440" spans="7:8">
      <c r="G1440" s="33"/>
      <c r="H1440" s="33"/>
    </row>
    <row r="1441" spans="7:8">
      <c r="G1441" s="33"/>
      <c r="H1441" s="33"/>
    </row>
    <row r="1442" spans="7:8">
      <c r="G1442" s="33"/>
      <c r="H1442" s="33"/>
    </row>
    <row r="1443" spans="7:8">
      <c r="G1443" s="33"/>
      <c r="H1443" s="33"/>
    </row>
    <row r="1444" spans="7:8">
      <c r="G1444" s="33"/>
      <c r="H1444" s="33"/>
    </row>
    <row r="1445" spans="7:8">
      <c r="G1445" s="33"/>
      <c r="H1445" s="33"/>
    </row>
    <row r="1446" spans="7:8">
      <c r="G1446" s="33"/>
      <c r="H1446" s="33"/>
    </row>
    <row r="1447" spans="7:8">
      <c r="G1447" s="33"/>
      <c r="H1447" s="33"/>
    </row>
    <row r="1448" spans="7:8">
      <c r="G1448" s="33"/>
      <c r="H1448" s="33"/>
    </row>
    <row r="1449" spans="7:8">
      <c r="G1449" s="33"/>
      <c r="H1449" s="33"/>
    </row>
    <row r="1450" spans="7:8">
      <c r="G1450" s="33"/>
      <c r="H1450" s="33"/>
    </row>
    <row r="1451" spans="7:8">
      <c r="G1451" s="33"/>
      <c r="H1451" s="33"/>
    </row>
    <row r="1452" spans="7:8">
      <c r="G1452" s="33"/>
      <c r="H1452" s="33"/>
    </row>
    <row r="1453" spans="7:8">
      <c r="G1453" s="33"/>
      <c r="H1453" s="33"/>
    </row>
    <row r="1454" spans="7:8">
      <c r="G1454" s="33"/>
      <c r="H1454" s="33"/>
    </row>
    <row r="1455" spans="7:8">
      <c r="G1455" s="33"/>
      <c r="H1455" s="33"/>
    </row>
    <row r="1456" spans="7:8">
      <c r="G1456" s="33"/>
      <c r="H1456" s="33"/>
    </row>
    <row r="1457" spans="7:8">
      <c r="G1457" s="33"/>
      <c r="H1457" s="33"/>
    </row>
    <row r="1458" spans="7:8">
      <c r="G1458" s="33"/>
      <c r="H1458" s="33"/>
    </row>
    <row r="1459" spans="7:8">
      <c r="G1459" s="33"/>
      <c r="H1459" s="33"/>
    </row>
    <row r="1460" spans="7:8">
      <c r="G1460" s="33"/>
      <c r="H1460" s="33"/>
    </row>
    <row r="1461" spans="7:8">
      <c r="G1461" s="33"/>
      <c r="H1461" s="33"/>
    </row>
    <row r="1462" spans="7:8">
      <c r="G1462" s="33"/>
      <c r="H1462" s="33"/>
    </row>
    <row r="1463" spans="7:8">
      <c r="G1463" s="33"/>
      <c r="H1463" s="33"/>
    </row>
    <row r="1464" spans="7:8">
      <c r="G1464" s="33"/>
      <c r="H1464" s="33"/>
    </row>
    <row r="1465" spans="7:8">
      <c r="G1465" s="33"/>
      <c r="H1465" s="33"/>
    </row>
    <row r="1466" spans="7:8">
      <c r="G1466" s="33"/>
      <c r="H1466" s="33"/>
    </row>
    <row r="1467" spans="7:8">
      <c r="G1467" s="33"/>
      <c r="H1467" s="33"/>
    </row>
    <row r="1468" spans="7:8">
      <c r="G1468" s="33"/>
      <c r="H1468" s="33"/>
    </row>
    <row r="1469" spans="7:8">
      <c r="G1469" s="33"/>
      <c r="H1469" s="33"/>
    </row>
    <row r="1470" spans="7:8">
      <c r="G1470" s="33"/>
      <c r="H1470" s="33"/>
    </row>
    <row r="1471" spans="7:8">
      <c r="G1471" s="33"/>
      <c r="H1471" s="33"/>
    </row>
    <row r="1472" spans="7:8">
      <c r="G1472" s="33"/>
      <c r="H1472" s="33"/>
    </row>
    <row r="1473" spans="7:8">
      <c r="G1473" s="33"/>
      <c r="H1473" s="33"/>
    </row>
    <row r="1474" spans="7:8">
      <c r="G1474" s="33"/>
      <c r="H1474" s="33"/>
    </row>
    <row r="1475" spans="7:8">
      <c r="G1475" s="33"/>
      <c r="H1475" s="33"/>
    </row>
    <row r="1476" spans="7:8">
      <c r="G1476" s="33"/>
      <c r="H1476" s="33"/>
    </row>
    <row r="1477" spans="7:8">
      <c r="G1477" s="33"/>
      <c r="H1477" s="33"/>
    </row>
    <row r="1478" spans="7:8">
      <c r="G1478" s="33"/>
      <c r="H1478" s="33"/>
    </row>
    <row r="1479" spans="7:8">
      <c r="G1479" s="33"/>
      <c r="H1479" s="33"/>
    </row>
    <row r="1480" spans="7:8">
      <c r="G1480" s="33"/>
      <c r="H1480" s="33"/>
    </row>
    <row r="1481" spans="7:8">
      <c r="G1481" s="33"/>
      <c r="H1481" s="33"/>
    </row>
    <row r="1482" spans="7:8">
      <c r="G1482" s="33"/>
      <c r="H1482" s="33"/>
    </row>
    <row r="1483" spans="7:8">
      <c r="G1483" s="33"/>
      <c r="H1483" s="33"/>
    </row>
    <row r="1484" spans="7:8">
      <c r="G1484" s="33"/>
      <c r="H1484" s="33"/>
    </row>
    <row r="1485" spans="7:8">
      <c r="G1485" s="33"/>
      <c r="H1485" s="33"/>
    </row>
    <row r="1486" spans="7:8">
      <c r="G1486" s="33"/>
      <c r="H1486" s="33"/>
    </row>
    <row r="1487" spans="7:8">
      <c r="G1487" s="33"/>
      <c r="H1487" s="33"/>
    </row>
    <row r="1488" spans="7:8">
      <c r="G1488" s="33"/>
      <c r="H1488" s="33"/>
    </row>
    <row r="1489" spans="7:8">
      <c r="G1489" s="33"/>
      <c r="H1489" s="33"/>
    </row>
    <row r="1490" spans="7:8">
      <c r="G1490" s="33"/>
      <c r="H1490" s="33"/>
    </row>
    <row r="1491" spans="7:8">
      <c r="G1491" s="33"/>
      <c r="H1491" s="33"/>
    </row>
    <row r="1492" spans="7:8">
      <c r="G1492" s="33"/>
      <c r="H1492" s="33"/>
    </row>
    <row r="1493" spans="7:8">
      <c r="G1493" s="33"/>
      <c r="H1493" s="33"/>
    </row>
    <row r="1494" spans="7:8">
      <c r="G1494" s="33"/>
      <c r="H1494" s="33"/>
    </row>
    <row r="1495" spans="7:8">
      <c r="G1495" s="33"/>
      <c r="H1495" s="33"/>
    </row>
    <row r="1496" spans="7:8">
      <c r="G1496" s="33"/>
      <c r="H1496" s="33"/>
    </row>
    <row r="1497" spans="7:8">
      <c r="G1497" s="33"/>
      <c r="H1497" s="33"/>
    </row>
    <row r="1498" spans="7:8">
      <c r="G1498" s="33"/>
      <c r="H1498" s="33"/>
    </row>
    <row r="1499" spans="7:8">
      <c r="G1499" s="33"/>
      <c r="H1499" s="33"/>
    </row>
    <row r="1500" spans="7:8">
      <c r="G1500" s="33"/>
      <c r="H1500" s="33"/>
    </row>
    <row r="1501" spans="7:8">
      <c r="G1501" s="33"/>
      <c r="H1501" s="33"/>
    </row>
    <row r="1502" spans="7:8">
      <c r="G1502" s="33"/>
      <c r="H1502" s="33"/>
    </row>
    <row r="1503" spans="7:8">
      <c r="G1503" s="33"/>
      <c r="H1503" s="33"/>
    </row>
    <row r="1504" spans="7:8">
      <c r="G1504" s="33"/>
      <c r="H1504" s="33"/>
    </row>
    <row r="1505" spans="7:8">
      <c r="G1505" s="33"/>
      <c r="H1505" s="33"/>
    </row>
    <row r="1506" spans="7:8">
      <c r="G1506" s="33"/>
      <c r="H1506" s="33"/>
    </row>
    <row r="1507" spans="7:8">
      <c r="G1507" s="33"/>
      <c r="H1507" s="33"/>
    </row>
    <row r="1508" spans="7:8">
      <c r="G1508" s="33"/>
      <c r="H1508" s="33"/>
    </row>
    <row r="1509" spans="7:8">
      <c r="G1509" s="33"/>
      <c r="H1509" s="33"/>
    </row>
    <row r="1510" spans="7:8">
      <c r="G1510" s="33"/>
      <c r="H1510" s="33"/>
    </row>
    <row r="1511" spans="7:8">
      <c r="G1511" s="33"/>
      <c r="H1511" s="33"/>
    </row>
    <row r="1512" spans="7:8">
      <c r="G1512" s="33"/>
      <c r="H1512" s="33"/>
    </row>
    <row r="1513" spans="7:8">
      <c r="G1513" s="33"/>
      <c r="H1513" s="33"/>
    </row>
    <row r="1514" spans="7:8">
      <c r="G1514" s="33"/>
      <c r="H1514" s="33"/>
    </row>
    <row r="1515" spans="7:8">
      <c r="G1515" s="33"/>
      <c r="H1515" s="33"/>
    </row>
    <row r="1516" spans="7:8">
      <c r="G1516" s="33"/>
      <c r="H1516" s="33"/>
    </row>
    <row r="1517" spans="7:8">
      <c r="G1517" s="33"/>
      <c r="H1517" s="33"/>
    </row>
    <row r="1518" spans="7:8">
      <c r="G1518" s="33"/>
      <c r="H1518" s="33"/>
    </row>
    <row r="1519" spans="7:8">
      <c r="G1519" s="33"/>
      <c r="H1519" s="33"/>
    </row>
    <row r="1520" spans="7:8">
      <c r="G1520" s="33"/>
      <c r="H1520" s="33"/>
    </row>
    <row r="1521" spans="7:8">
      <c r="G1521" s="33"/>
      <c r="H1521" s="33"/>
    </row>
    <row r="1522" spans="7:8">
      <c r="G1522" s="33"/>
      <c r="H1522" s="33"/>
    </row>
    <row r="1523" spans="7:8">
      <c r="G1523" s="33"/>
      <c r="H1523" s="33"/>
    </row>
    <row r="1524" spans="7:8">
      <c r="G1524" s="33"/>
      <c r="H1524" s="33"/>
    </row>
    <row r="1525" spans="7:8">
      <c r="G1525" s="33"/>
      <c r="H1525" s="33"/>
    </row>
    <row r="1526" spans="7:8">
      <c r="G1526" s="33"/>
      <c r="H1526" s="33"/>
    </row>
    <row r="1527" spans="7:8">
      <c r="G1527" s="33"/>
      <c r="H1527" s="33"/>
    </row>
    <row r="1528" spans="7:8">
      <c r="G1528" s="33"/>
      <c r="H1528" s="33"/>
    </row>
    <row r="1529" spans="7:8">
      <c r="G1529" s="33"/>
      <c r="H1529" s="33"/>
    </row>
    <row r="1530" spans="7:8">
      <c r="G1530" s="33"/>
      <c r="H1530" s="33"/>
    </row>
    <row r="1531" spans="7:8">
      <c r="G1531" s="33"/>
      <c r="H1531" s="33"/>
    </row>
    <row r="1532" spans="7:8">
      <c r="G1532" s="33"/>
      <c r="H1532" s="33"/>
    </row>
    <row r="1533" spans="7:8">
      <c r="G1533" s="33"/>
      <c r="H1533" s="33"/>
    </row>
    <row r="1534" spans="7:8">
      <c r="G1534" s="33"/>
      <c r="H1534" s="33"/>
    </row>
    <row r="1535" spans="7:8">
      <c r="G1535" s="33"/>
      <c r="H1535" s="33"/>
    </row>
    <row r="1536" spans="7:8">
      <c r="G1536" s="33"/>
      <c r="H1536" s="33"/>
    </row>
    <row r="1537" spans="7:8">
      <c r="G1537" s="33"/>
      <c r="H1537" s="33"/>
    </row>
    <row r="1538" spans="7:8">
      <c r="G1538" s="33"/>
      <c r="H1538" s="33"/>
    </row>
    <row r="1539" spans="7:8">
      <c r="G1539" s="33"/>
      <c r="H1539" s="33"/>
    </row>
    <row r="1540" spans="7:8">
      <c r="G1540" s="33"/>
      <c r="H1540" s="33"/>
    </row>
    <row r="1541" spans="7:8">
      <c r="G1541" s="33"/>
      <c r="H1541" s="33"/>
    </row>
    <row r="1542" spans="7:8">
      <c r="G1542" s="33"/>
      <c r="H1542" s="33"/>
    </row>
    <row r="1543" spans="7:8">
      <c r="G1543" s="33"/>
      <c r="H1543" s="33"/>
    </row>
    <row r="1544" spans="7:8">
      <c r="G1544" s="33"/>
      <c r="H1544" s="33"/>
    </row>
    <row r="1545" spans="7:8">
      <c r="G1545" s="33"/>
      <c r="H1545" s="33"/>
    </row>
    <row r="1546" spans="7:8">
      <c r="G1546" s="33"/>
      <c r="H1546" s="33"/>
    </row>
    <row r="1547" spans="7:8">
      <c r="G1547" s="33"/>
      <c r="H1547" s="33"/>
    </row>
    <row r="1548" spans="7:8">
      <c r="G1548" s="33"/>
      <c r="H1548" s="33"/>
    </row>
    <row r="1549" spans="7:8">
      <c r="G1549" s="33"/>
      <c r="H1549" s="33"/>
    </row>
    <row r="1550" spans="7:8">
      <c r="G1550" s="33"/>
      <c r="H1550" s="33"/>
    </row>
    <row r="1551" spans="7:8">
      <c r="G1551" s="33"/>
      <c r="H1551" s="33"/>
    </row>
    <row r="1552" spans="7:8">
      <c r="G1552" s="33"/>
      <c r="H1552" s="33"/>
    </row>
    <row r="1553" spans="7:8">
      <c r="G1553" s="33"/>
      <c r="H1553" s="33"/>
    </row>
    <row r="1554" spans="7:8">
      <c r="G1554" s="33"/>
      <c r="H1554" s="33"/>
    </row>
    <row r="1555" spans="7:8">
      <c r="G1555" s="33"/>
      <c r="H1555" s="33"/>
    </row>
    <row r="1556" spans="7:8">
      <c r="G1556" s="33"/>
      <c r="H1556" s="33"/>
    </row>
    <row r="1557" spans="7:8">
      <c r="G1557" s="33"/>
      <c r="H1557" s="33"/>
    </row>
    <row r="1558" spans="7:8">
      <c r="G1558" s="33"/>
      <c r="H1558" s="33"/>
    </row>
    <row r="1559" spans="7:8">
      <c r="G1559" s="33"/>
      <c r="H1559" s="33"/>
    </row>
    <row r="1560" spans="7:8">
      <c r="G1560" s="33"/>
      <c r="H1560" s="33"/>
    </row>
    <row r="1561" spans="7:8">
      <c r="G1561" s="33"/>
      <c r="H1561" s="33"/>
    </row>
    <row r="1562" spans="7:8">
      <c r="G1562" s="33"/>
      <c r="H1562" s="33"/>
    </row>
    <row r="1563" spans="7:8">
      <c r="G1563" s="33"/>
      <c r="H1563" s="33"/>
    </row>
    <row r="1564" spans="7:8">
      <c r="G1564" s="33"/>
      <c r="H1564" s="33"/>
    </row>
    <row r="1565" spans="7:8">
      <c r="G1565" s="33"/>
      <c r="H1565" s="33"/>
    </row>
    <row r="1566" spans="7:8">
      <c r="G1566" s="33"/>
      <c r="H1566" s="33"/>
    </row>
    <row r="1567" spans="7:8">
      <c r="G1567" s="33"/>
      <c r="H1567" s="33"/>
    </row>
    <row r="1568" spans="7:8">
      <c r="G1568" s="33"/>
      <c r="H1568" s="33"/>
    </row>
    <row r="1569" spans="7:8">
      <c r="G1569" s="33"/>
      <c r="H1569" s="33"/>
    </row>
    <row r="1570" spans="7:8">
      <c r="G1570" s="33"/>
      <c r="H1570" s="33"/>
    </row>
    <row r="1571" spans="7:8">
      <c r="G1571" s="33"/>
      <c r="H1571" s="33"/>
    </row>
    <row r="1572" spans="7:8">
      <c r="G1572" s="33"/>
      <c r="H1572" s="33"/>
    </row>
    <row r="1573" spans="7:8">
      <c r="G1573" s="33"/>
      <c r="H1573" s="33"/>
    </row>
    <row r="1574" spans="7:8">
      <c r="G1574" s="33"/>
      <c r="H1574" s="33"/>
    </row>
    <row r="1575" spans="7:8">
      <c r="G1575" s="33"/>
      <c r="H1575" s="33"/>
    </row>
    <row r="1576" spans="7:8">
      <c r="G1576" s="33"/>
      <c r="H1576" s="33"/>
    </row>
    <row r="1577" spans="7:8">
      <c r="G1577" s="33"/>
      <c r="H1577" s="33"/>
    </row>
    <row r="1578" spans="7:8">
      <c r="G1578" s="33"/>
      <c r="H1578" s="33"/>
    </row>
    <row r="1579" spans="7:8">
      <c r="G1579" s="33"/>
      <c r="H1579" s="33"/>
    </row>
    <row r="1580" spans="7:8">
      <c r="G1580" s="33"/>
      <c r="H1580" s="33"/>
    </row>
    <row r="1581" spans="7:8">
      <c r="G1581" s="33"/>
      <c r="H1581" s="33"/>
    </row>
    <row r="1582" spans="7:8">
      <c r="G1582" s="33"/>
      <c r="H1582" s="33"/>
    </row>
    <row r="1583" spans="7:8">
      <c r="G1583" s="33"/>
      <c r="H1583" s="33"/>
    </row>
    <row r="1584" spans="7:8">
      <c r="G1584" s="33"/>
      <c r="H1584" s="33"/>
    </row>
    <row r="1585" spans="7:8">
      <c r="G1585" s="33"/>
      <c r="H1585" s="33"/>
    </row>
    <row r="1586" spans="7:8">
      <c r="G1586" s="33"/>
      <c r="H1586" s="33"/>
    </row>
    <row r="1587" spans="7:8">
      <c r="G1587" s="33"/>
      <c r="H1587" s="33"/>
    </row>
    <row r="1588" spans="7:8">
      <c r="G1588" s="33"/>
      <c r="H1588" s="33"/>
    </row>
    <row r="1589" spans="7:8">
      <c r="G1589" s="33"/>
      <c r="H1589" s="33"/>
    </row>
    <row r="1590" spans="7:8">
      <c r="G1590" s="33"/>
      <c r="H1590" s="33"/>
    </row>
    <row r="1591" spans="7:8">
      <c r="G1591" s="33"/>
      <c r="H1591" s="33"/>
    </row>
    <row r="1592" spans="7:8">
      <c r="G1592" s="33"/>
      <c r="H1592" s="33"/>
    </row>
    <row r="1593" spans="7:8">
      <c r="G1593" s="33"/>
      <c r="H1593" s="33"/>
    </row>
    <row r="1594" spans="7:8">
      <c r="G1594" s="33"/>
      <c r="H1594" s="33"/>
    </row>
    <row r="1595" spans="7:8">
      <c r="G1595" s="33"/>
      <c r="H1595" s="33"/>
    </row>
    <row r="1596" spans="7:8">
      <c r="G1596" s="33"/>
      <c r="H1596" s="33"/>
    </row>
    <row r="1597" spans="7:8">
      <c r="G1597" s="33"/>
      <c r="H1597" s="33"/>
    </row>
    <row r="1598" spans="7:8">
      <c r="G1598" s="33"/>
      <c r="H1598" s="33"/>
    </row>
    <row r="1599" spans="7:8">
      <c r="G1599" s="33"/>
      <c r="H1599" s="33"/>
    </row>
    <row r="1600" spans="7:8">
      <c r="G1600" s="33"/>
      <c r="H1600" s="33"/>
    </row>
    <row r="1601" spans="7:8">
      <c r="G1601" s="33"/>
      <c r="H1601" s="33"/>
    </row>
    <row r="1602" spans="7:8">
      <c r="G1602" s="33"/>
      <c r="H1602" s="33"/>
    </row>
    <row r="1603" spans="7:8">
      <c r="G1603" s="33"/>
      <c r="H1603" s="33"/>
    </row>
    <row r="1604" spans="7:8">
      <c r="G1604" s="33"/>
      <c r="H1604" s="33"/>
    </row>
    <row r="1605" spans="7:8">
      <c r="G1605" s="33"/>
      <c r="H1605" s="33"/>
    </row>
    <row r="1606" spans="7:8">
      <c r="G1606" s="33"/>
      <c r="H1606" s="33"/>
    </row>
    <row r="1607" spans="7:8">
      <c r="G1607" s="33"/>
      <c r="H1607" s="33"/>
    </row>
    <row r="1608" spans="7:8">
      <c r="G1608" s="33"/>
      <c r="H1608" s="33"/>
    </row>
    <row r="1609" spans="7:8">
      <c r="G1609" s="33"/>
      <c r="H1609" s="33"/>
    </row>
    <row r="1610" spans="7:8">
      <c r="G1610" s="33"/>
      <c r="H1610" s="33"/>
    </row>
    <row r="1611" spans="7:8">
      <c r="G1611" s="33"/>
      <c r="H1611" s="33"/>
    </row>
    <row r="1612" spans="7:8">
      <c r="G1612" s="33"/>
      <c r="H1612" s="33"/>
    </row>
    <row r="1613" spans="7:8">
      <c r="G1613" s="33"/>
      <c r="H1613" s="33"/>
    </row>
    <row r="1614" spans="7:8">
      <c r="G1614" s="33"/>
      <c r="H1614" s="33"/>
    </row>
    <row r="1615" spans="7:8">
      <c r="G1615" s="33"/>
      <c r="H1615" s="33"/>
    </row>
    <row r="1616" spans="7:8">
      <c r="G1616" s="33"/>
      <c r="H1616" s="33"/>
    </row>
    <row r="1617" spans="7:8">
      <c r="G1617" s="33"/>
      <c r="H1617" s="33"/>
    </row>
    <row r="1618" spans="7:8">
      <c r="G1618" s="33"/>
      <c r="H1618" s="33"/>
    </row>
    <row r="1619" spans="7:8">
      <c r="G1619" s="33"/>
      <c r="H1619" s="33"/>
    </row>
    <row r="1620" spans="7:8">
      <c r="G1620" s="33"/>
      <c r="H1620" s="33"/>
    </row>
    <row r="1621" spans="7:8">
      <c r="G1621" s="33"/>
      <c r="H1621" s="33"/>
    </row>
    <row r="1622" spans="7:8">
      <c r="G1622" s="33"/>
      <c r="H1622" s="33"/>
    </row>
    <row r="1623" spans="7:8">
      <c r="G1623" s="33"/>
      <c r="H1623" s="33"/>
    </row>
    <row r="1624" spans="7:8">
      <c r="G1624" s="33"/>
      <c r="H1624" s="33"/>
    </row>
    <row r="1625" spans="7:8">
      <c r="G1625" s="33"/>
      <c r="H1625" s="33"/>
    </row>
    <row r="1626" spans="7:8">
      <c r="G1626" s="33"/>
      <c r="H1626" s="33"/>
    </row>
    <row r="1627" spans="7:8">
      <c r="G1627" s="33"/>
      <c r="H1627" s="33"/>
    </row>
    <row r="1628" spans="7:8">
      <c r="G1628" s="33"/>
      <c r="H1628" s="33"/>
    </row>
    <row r="1629" spans="7:8">
      <c r="G1629" s="33"/>
      <c r="H1629" s="33"/>
    </row>
    <row r="1630" spans="7:8">
      <c r="G1630" s="33"/>
      <c r="H1630" s="33"/>
    </row>
    <row r="1631" spans="7:8">
      <c r="G1631" s="33"/>
      <c r="H1631" s="33"/>
    </row>
    <row r="1632" spans="7:8">
      <c r="G1632" s="33"/>
      <c r="H1632" s="33"/>
    </row>
    <row r="1633" spans="7:8">
      <c r="G1633" s="33"/>
      <c r="H1633" s="33"/>
    </row>
    <row r="1634" spans="7:8">
      <c r="G1634" s="33"/>
      <c r="H1634" s="33"/>
    </row>
    <row r="1635" spans="7:8">
      <c r="G1635" s="33"/>
      <c r="H1635" s="33"/>
    </row>
    <row r="1636" spans="7:8">
      <c r="G1636" s="33"/>
      <c r="H1636" s="33"/>
    </row>
    <row r="1637" spans="7:8">
      <c r="G1637" s="33"/>
      <c r="H1637" s="33"/>
    </row>
    <row r="1638" spans="7:8">
      <c r="G1638" s="33"/>
      <c r="H1638" s="33"/>
    </row>
    <row r="1639" spans="7:8">
      <c r="G1639" s="33"/>
      <c r="H1639" s="33"/>
    </row>
    <row r="1640" spans="7:8">
      <c r="G1640" s="33"/>
      <c r="H1640" s="33"/>
    </row>
    <row r="1641" spans="7:8">
      <c r="G1641" s="33"/>
      <c r="H1641" s="33"/>
    </row>
    <row r="1642" spans="7:8">
      <c r="G1642" s="33"/>
      <c r="H1642" s="33"/>
    </row>
    <row r="1643" spans="7:8">
      <c r="G1643" s="33"/>
      <c r="H1643" s="33"/>
    </row>
    <row r="1644" spans="7:8">
      <c r="G1644" s="33"/>
      <c r="H1644" s="33"/>
    </row>
    <row r="1645" spans="7:8">
      <c r="G1645" s="33"/>
      <c r="H1645" s="33"/>
    </row>
    <row r="1646" spans="7:8">
      <c r="G1646" s="33"/>
      <c r="H1646" s="33"/>
    </row>
    <row r="1647" spans="7:8">
      <c r="G1647" s="33"/>
      <c r="H1647" s="33"/>
    </row>
    <row r="1648" spans="7:8">
      <c r="G1648" s="33"/>
      <c r="H1648" s="33"/>
    </row>
    <row r="1649" spans="7:8">
      <c r="G1649" s="33"/>
      <c r="H1649" s="33"/>
    </row>
    <row r="1650" spans="7:8">
      <c r="G1650" s="33"/>
      <c r="H1650" s="33"/>
    </row>
    <row r="1651" spans="7:8">
      <c r="G1651" s="33"/>
      <c r="H1651" s="33"/>
    </row>
    <row r="1652" spans="7:8">
      <c r="G1652" s="33"/>
      <c r="H1652" s="33"/>
    </row>
    <row r="1653" spans="7:8">
      <c r="G1653" s="33"/>
      <c r="H1653" s="33"/>
    </row>
    <row r="1654" spans="7:8">
      <c r="G1654" s="33"/>
      <c r="H1654" s="33"/>
    </row>
    <row r="1655" spans="7:8">
      <c r="G1655" s="33"/>
      <c r="H1655" s="33"/>
    </row>
    <row r="1656" spans="7:8">
      <c r="G1656" s="33"/>
      <c r="H1656" s="33"/>
    </row>
    <row r="1657" spans="7:8">
      <c r="G1657" s="33"/>
      <c r="H1657" s="33"/>
    </row>
    <row r="1658" spans="7:8">
      <c r="G1658" s="33"/>
      <c r="H1658" s="33"/>
    </row>
    <row r="1659" spans="7:8">
      <c r="G1659" s="33"/>
      <c r="H1659" s="33"/>
    </row>
    <row r="1660" spans="7:8">
      <c r="G1660" s="33"/>
      <c r="H1660" s="33"/>
    </row>
    <row r="1661" spans="7:8">
      <c r="G1661" s="33"/>
      <c r="H1661" s="33"/>
    </row>
    <row r="1662" spans="7:8">
      <c r="G1662" s="33"/>
      <c r="H1662" s="33"/>
    </row>
    <row r="1663" spans="7:8">
      <c r="G1663" s="33"/>
      <c r="H1663" s="33"/>
    </row>
    <row r="1664" spans="7:8">
      <c r="G1664" s="33"/>
      <c r="H1664" s="33"/>
    </row>
    <row r="1665" spans="7:8">
      <c r="G1665" s="33"/>
      <c r="H1665" s="33"/>
    </row>
    <row r="1666" spans="7:8">
      <c r="G1666" s="33"/>
      <c r="H1666" s="33"/>
    </row>
    <row r="1667" spans="7:8">
      <c r="G1667" s="33"/>
      <c r="H1667" s="33"/>
    </row>
    <row r="1668" spans="7:8">
      <c r="G1668" s="33"/>
      <c r="H1668" s="33"/>
    </row>
    <row r="1669" spans="7:8">
      <c r="G1669" s="33"/>
      <c r="H1669" s="33"/>
    </row>
    <row r="1670" spans="7:8">
      <c r="G1670" s="33"/>
      <c r="H1670" s="33"/>
    </row>
    <row r="1671" spans="7:8">
      <c r="G1671" s="33"/>
      <c r="H1671" s="33"/>
    </row>
    <row r="1672" spans="7:8">
      <c r="G1672" s="33"/>
      <c r="H1672" s="33"/>
    </row>
    <row r="1673" spans="7:8">
      <c r="G1673" s="33"/>
      <c r="H1673" s="33"/>
    </row>
    <row r="1674" spans="7:8">
      <c r="G1674" s="33"/>
      <c r="H1674" s="33"/>
    </row>
    <row r="1675" spans="7:8">
      <c r="G1675" s="33"/>
      <c r="H1675" s="33"/>
    </row>
    <row r="1676" spans="7:8">
      <c r="G1676" s="33"/>
      <c r="H1676" s="33"/>
    </row>
    <row r="1677" spans="7:8">
      <c r="G1677" s="33"/>
      <c r="H1677" s="33"/>
    </row>
    <row r="1678" spans="7:8">
      <c r="G1678" s="33"/>
      <c r="H1678" s="33"/>
    </row>
    <row r="1679" spans="7:8">
      <c r="G1679" s="33"/>
      <c r="H1679" s="33"/>
    </row>
    <row r="1680" spans="7:8">
      <c r="G1680" s="33"/>
      <c r="H1680" s="33"/>
    </row>
    <row r="1681" spans="7:8">
      <c r="G1681" s="33"/>
      <c r="H1681" s="33"/>
    </row>
    <row r="1682" spans="7:8">
      <c r="G1682" s="33"/>
      <c r="H1682" s="33"/>
    </row>
    <row r="1683" spans="7:8">
      <c r="G1683" s="33"/>
      <c r="H1683" s="33"/>
    </row>
    <row r="1684" spans="7:8">
      <c r="G1684" s="33"/>
      <c r="H1684" s="33"/>
    </row>
    <row r="1685" spans="7:8">
      <c r="G1685" s="33"/>
      <c r="H1685" s="33"/>
    </row>
    <row r="1686" spans="7:8">
      <c r="G1686" s="33"/>
      <c r="H1686" s="33"/>
    </row>
    <row r="1687" spans="7:8">
      <c r="G1687" s="33"/>
      <c r="H1687" s="33"/>
    </row>
    <row r="1688" spans="7:8">
      <c r="G1688" s="33"/>
      <c r="H1688" s="33"/>
    </row>
    <row r="1689" spans="7:8">
      <c r="G1689" s="33"/>
      <c r="H1689" s="33"/>
    </row>
    <row r="1690" spans="7:8">
      <c r="G1690" s="33"/>
      <c r="H1690" s="33"/>
    </row>
    <row r="1691" spans="7:8">
      <c r="G1691" s="33"/>
      <c r="H1691" s="33"/>
    </row>
    <row r="1692" spans="7:8">
      <c r="G1692" s="33"/>
      <c r="H1692" s="33"/>
    </row>
    <row r="1693" spans="7:8">
      <c r="G1693" s="33"/>
      <c r="H1693" s="33"/>
    </row>
    <row r="1694" spans="7:8">
      <c r="G1694" s="33"/>
      <c r="H1694" s="33"/>
    </row>
    <row r="1695" spans="7:8">
      <c r="G1695" s="33"/>
      <c r="H1695" s="33"/>
    </row>
    <row r="1696" spans="7:8">
      <c r="G1696" s="33"/>
      <c r="H1696" s="33"/>
    </row>
    <row r="1697" spans="7:8">
      <c r="G1697" s="33"/>
      <c r="H1697" s="33"/>
    </row>
    <row r="1698" spans="7:8">
      <c r="G1698" s="33"/>
      <c r="H1698" s="33"/>
    </row>
    <row r="1699" spans="7:8">
      <c r="G1699" s="33"/>
      <c r="H1699" s="33"/>
    </row>
    <row r="1700" spans="7:8">
      <c r="G1700" s="33"/>
      <c r="H1700" s="33"/>
    </row>
    <row r="1701" spans="7:8">
      <c r="G1701" s="33"/>
      <c r="H1701" s="33"/>
    </row>
    <row r="1702" spans="7:8">
      <c r="G1702" s="33"/>
      <c r="H1702" s="33"/>
    </row>
    <row r="1703" spans="7:8">
      <c r="G1703" s="33"/>
      <c r="H1703" s="33"/>
    </row>
    <row r="1704" spans="7:8">
      <c r="G1704" s="33"/>
      <c r="H1704" s="33"/>
    </row>
    <row r="1705" spans="7:8">
      <c r="G1705" s="33"/>
      <c r="H1705" s="33"/>
    </row>
    <row r="1706" spans="7:8">
      <c r="G1706" s="33"/>
      <c r="H1706" s="33"/>
    </row>
    <row r="1707" spans="7:8">
      <c r="G1707" s="33"/>
      <c r="H1707" s="33"/>
    </row>
    <row r="1708" spans="7:8">
      <c r="G1708" s="33"/>
      <c r="H1708" s="33"/>
    </row>
    <row r="1709" spans="7:8">
      <c r="G1709" s="33"/>
      <c r="H1709" s="33"/>
    </row>
    <row r="1710" spans="7:8">
      <c r="G1710" s="33"/>
      <c r="H1710" s="33"/>
    </row>
    <row r="1711" spans="7:8">
      <c r="G1711" s="33"/>
      <c r="H1711" s="33"/>
    </row>
    <row r="1712" spans="7:8">
      <c r="G1712" s="33"/>
      <c r="H1712" s="33"/>
    </row>
    <row r="1713" spans="7:8">
      <c r="G1713" s="33"/>
      <c r="H1713" s="33"/>
    </row>
    <row r="1714" spans="7:8">
      <c r="G1714" s="33"/>
      <c r="H1714" s="33"/>
    </row>
    <row r="1715" spans="7:8">
      <c r="G1715" s="33"/>
      <c r="H1715" s="33"/>
    </row>
    <row r="1716" spans="7:8">
      <c r="G1716" s="33"/>
      <c r="H1716" s="33"/>
    </row>
    <row r="1717" spans="7:8">
      <c r="G1717" s="33"/>
      <c r="H1717" s="33"/>
    </row>
    <row r="1718" spans="7:8">
      <c r="G1718" s="33"/>
      <c r="H1718" s="33"/>
    </row>
    <row r="1719" spans="7:8">
      <c r="G1719" s="33"/>
      <c r="H1719" s="33"/>
    </row>
    <row r="1720" spans="7:8">
      <c r="G1720" s="33"/>
      <c r="H1720" s="33"/>
    </row>
    <row r="1721" spans="7:8">
      <c r="G1721" s="33"/>
      <c r="H1721" s="33"/>
    </row>
    <row r="1722" spans="7:8">
      <c r="G1722" s="33"/>
      <c r="H1722" s="33"/>
    </row>
    <row r="1723" spans="7:8">
      <c r="G1723" s="33"/>
      <c r="H1723" s="33"/>
    </row>
    <row r="1724" spans="7:8">
      <c r="G1724" s="33"/>
      <c r="H1724" s="33"/>
    </row>
    <row r="1725" spans="7:8">
      <c r="G1725" s="33"/>
      <c r="H1725" s="33"/>
    </row>
    <row r="1726" spans="7:8">
      <c r="G1726" s="33"/>
      <c r="H1726" s="33"/>
    </row>
    <row r="1727" spans="7:8">
      <c r="G1727" s="33"/>
      <c r="H1727" s="33"/>
    </row>
    <row r="1728" spans="7:8">
      <c r="G1728" s="33"/>
      <c r="H1728" s="33"/>
    </row>
    <row r="1729" spans="7:8">
      <c r="G1729" s="33"/>
      <c r="H1729" s="33"/>
    </row>
    <row r="1730" spans="7:8">
      <c r="G1730" s="33"/>
      <c r="H1730" s="33"/>
    </row>
    <row r="1731" spans="7:8">
      <c r="G1731" s="33"/>
      <c r="H1731" s="33"/>
    </row>
    <row r="1732" spans="7:8">
      <c r="G1732" s="33"/>
      <c r="H1732" s="33"/>
    </row>
    <row r="1733" spans="7:8">
      <c r="G1733" s="33"/>
      <c r="H1733" s="33"/>
    </row>
    <row r="1734" spans="7:8">
      <c r="G1734" s="33"/>
      <c r="H1734" s="33"/>
    </row>
    <row r="1735" spans="7:8">
      <c r="G1735" s="33"/>
      <c r="H1735" s="33"/>
    </row>
    <row r="1736" spans="7:8">
      <c r="G1736" s="33"/>
      <c r="H1736" s="33"/>
    </row>
    <row r="1737" spans="7:8">
      <c r="G1737" s="33"/>
      <c r="H1737" s="33"/>
    </row>
    <row r="1738" spans="7:8">
      <c r="G1738" s="33"/>
      <c r="H1738" s="33"/>
    </row>
    <row r="1739" spans="7:8">
      <c r="G1739" s="33"/>
      <c r="H1739" s="33"/>
    </row>
    <row r="1740" spans="7:8">
      <c r="G1740" s="33"/>
      <c r="H1740" s="33"/>
    </row>
    <row r="1741" spans="7:8">
      <c r="G1741" s="33"/>
      <c r="H1741" s="33"/>
    </row>
    <row r="1742" spans="7:8">
      <c r="G1742" s="33"/>
      <c r="H1742" s="33"/>
    </row>
    <row r="1743" spans="7:8">
      <c r="G1743" s="33"/>
      <c r="H1743" s="33"/>
    </row>
    <row r="1744" spans="7:8">
      <c r="G1744" s="33"/>
      <c r="H1744" s="33"/>
    </row>
    <row r="1745" spans="7:8">
      <c r="G1745" s="33"/>
      <c r="H1745" s="33"/>
    </row>
    <row r="1746" spans="7:8">
      <c r="G1746" s="33"/>
      <c r="H1746" s="33"/>
    </row>
    <row r="1747" spans="7:8">
      <c r="G1747" s="33"/>
      <c r="H1747" s="33"/>
    </row>
    <row r="1748" spans="7:8">
      <c r="G1748" s="33"/>
      <c r="H1748" s="33"/>
    </row>
    <row r="1749" spans="7:8">
      <c r="G1749" s="33"/>
      <c r="H1749" s="33"/>
    </row>
    <row r="1750" spans="7:8">
      <c r="G1750" s="33"/>
      <c r="H1750" s="33"/>
    </row>
    <row r="1751" spans="7:8">
      <c r="G1751" s="33"/>
      <c r="H1751" s="33"/>
    </row>
    <row r="1752" spans="7:8">
      <c r="G1752" s="33"/>
      <c r="H1752" s="33"/>
    </row>
    <row r="1753" spans="7:8">
      <c r="G1753" s="33"/>
      <c r="H1753" s="33"/>
    </row>
    <row r="1754" spans="7:8">
      <c r="G1754" s="33"/>
      <c r="H1754" s="33"/>
    </row>
    <row r="1755" spans="7:8">
      <c r="G1755" s="33"/>
      <c r="H1755" s="33"/>
    </row>
    <row r="1756" spans="7:8">
      <c r="G1756" s="33"/>
      <c r="H1756" s="33"/>
    </row>
    <row r="1757" spans="7:8">
      <c r="G1757" s="33"/>
      <c r="H1757" s="33"/>
    </row>
    <row r="1758" spans="7:8">
      <c r="G1758" s="33"/>
      <c r="H1758" s="33"/>
    </row>
    <row r="1759" spans="7:8">
      <c r="G1759" s="33"/>
      <c r="H1759" s="33"/>
    </row>
    <row r="1760" spans="7:8">
      <c r="G1760" s="33"/>
      <c r="H1760" s="33"/>
    </row>
    <row r="1761" spans="7:8">
      <c r="G1761" s="33"/>
      <c r="H1761" s="33"/>
    </row>
    <row r="1762" spans="7:8">
      <c r="G1762" s="33"/>
      <c r="H1762" s="33"/>
    </row>
    <row r="1763" spans="7:8">
      <c r="G1763" s="33"/>
      <c r="H1763" s="33"/>
    </row>
    <row r="1764" spans="7:8">
      <c r="G1764" s="33"/>
      <c r="H1764" s="33"/>
    </row>
    <row r="1765" spans="7:8">
      <c r="G1765" s="33"/>
      <c r="H1765" s="33"/>
    </row>
    <row r="1766" spans="7:8">
      <c r="G1766" s="33"/>
      <c r="H1766" s="33"/>
    </row>
    <row r="1767" spans="7:8">
      <c r="G1767" s="33"/>
      <c r="H1767" s="33"/>
    </row>
    <row r="1768" spans="7:8">
      <c r="G1768" s="33"/>
      <c r="H1768" s="33"/>
    </row>
    <row r="1769" spans="7:8">
      <c r="G1769" s="33"/>
      <c r="H1769" s="33"/>
    </row>
    <row r="1770" spans="7:8">
      <c r="G1770" s="33"/>
      <c r="H1770" s="33"/>
    </row>
    <row r="1771" spans="7:8">
      <c r="G1771" s="33"/>
      <c r="H1771" s="33"/>
    </row>
    <row r="1772" spans="7:8">
      <c r="G1772" s="33"/>
      <c r="H1772" s="33"/>
    </row>
    <row r="1773" spans="7:8">
      <c r="G1773" s="33"/>
      <c r="H1773" s="33"/>
    </row>
    <row r="1774" spans="7:8">
      <c r="G1774" s="33"/>
      <c r="H1774" s="33"/>
    </row>
    <row r="1775" spans="7:8">
      <c r="G1775" s="33"/>
      <c r="H1775" s="33"/>
    </row>
    <row r="1776" spans="7:8">
      <c r="G1776" s="33"/>
      <c r="H1776" s="33"/>
    </row>
    <row r="1777" spans="7:8">
      <c r="G1777" s="33"/>
      <c r="H1777" s="33"/>
    </row>
    <row r="1778" spans="7:8">
      <c r="G1778" s="33"/>
      <c r="H1778" s="33"/>
    </row>
    <row r="1779" spans="7:8">
      <c r="G1779" s="33"/>
      <c r="H1779" s="33"/>
    </row>
    <row r="1780" spans="7:8">
      <c r="G1780" s="33"/>
      <c r="H1780" s="33"/>
    </row>
    <row r="1781" spans="7:8">
      <c r="G1781" s="33"/>
      <c r="H1781" s="33"/>
    </row>
    <row r="1782" spans="7:8">
      <c r="G1782" s="33"/>
      <c r="H1782" s="33"/>
    </row>
    <row r="1783" spans="7:8">
      <c r="G1783" s="33"/>
      <c r="H1783" s="33"/>
    </row>
    <row r="1784" spans="7:8">
      <c r="G1784" s="33"/>
      <c r="H1784" s="33"/>
    </row>
    <row r="1785" spans="7:8">
      <c r="G1785" s="33"/>
      <c r="H1785" s="33"/>
    </row>
    <row r="1786" spans="7:8">
      <c r="G1786" s="33"/>
      <c r="H1786" s="33"/>
    </row>
    <row r="1787" spans="7:8">
      <c r="G1787" s="33"/>
      <c r="H1787" s="33"/>
    </row>
    <row r="1788" spans="7:8">
      <c r="G1788" s="33"/>
      <c r="H1788" s="33"/>
    </row>
    <row r="1789" spans="7:8">
      <c r="G1789" s="33"/>
      <c r="H1789" s="33"/>
    </row>
    <row r="1790" spans="7:8">
      <c r="G1790" s="33"/>
      <c r="H1790" s="33"/>
    </row>
    <row r="1791" spans="7:8">
      <c r="G1791" s="33"/>
      <c r="H1791" s="33"/>
    </row>
    <row r="1792" spans="7:8">
      <c r="G1792" s="33"/>
      <c r="H1792" s="33"/>
    </row>
    <row r="1793" spans="7:8">
      <c r="G1793" s="33"/>
      <c r="H1793" s="33"/>
    </row>
    <row r="1794" spans="7:8">
      <c r="G1794" s="33"/>
      <c r="H1794" s="33"/>
    </row>
    <row r="1795" spans="7:8">
      <c r="G1795" s="33"/>
      <c r="H1795" s="33"/>
    </row>
    <row r="1796" spans="7:8">
      <c r="G1796" s="33"/>
      <c r="H1796" s="33"/>
    </row>
    <row r="1797" spans="7:8">
      <c r="G1797" s="33"/>
      <c r="H1797" s="33"/>
    </row>
    <row r="1798" spans="7:8">
      <c r="G1798" s="33"/>
      <c r="H1798" s="33"/>
    </row>
    <row r="1799" spans="7:8">
      <c r="G1799" s="33"/>
      <c r="H1799" s="33"/>
    </row>
    <row r="1800" spans="7:8">
      <c r="G1800" s="33"/>
      <c r="H1800" s="33"/>
    </row>
    <row r="1801" spans="7:8">
      <c r="G1801" s="33"/>
      <c r="H1801" s="33"/>
    </row>
    <row r="1802" spans="7:8">
      <c r="G1802" s="33"/>
      <c r="H1802" s="33"/>
    </row>
    <row r="1803" spans="7:8">
      <c r="G1803" s="33"/>
      <c r="H1803" s="33"/>
    </row>
    <row r="1804" spans="7:8">
      <c r="G1804" s="33"/>
      <c r="H1804" s="33"/>
    </row>
    <row r="1805" spans="7:8">
      <c r="G1805" s="33"/>
      <c r="H1805" s="33"/>
    </row>
    <row r="1806" spans="7:8">
      <c r="G1806" s="33"/>
      <c r="H1806" s="33"/>
    </row>
    <row r="1807" spans="7:8">
      <c r="G1807" s="33"/>
      <c r="H1807" s="33"/>
    </row>
    <row r="1808" spans="7:8">
      <c r="G1808" s="33"/>
      <c r="H1808" s="33"/>
    </row>
    <row r="1809" spans="7:8">
      <c r="G1809" s="33"/>
      <c r="H1809" s="33"/>
    </row>
    <row r="1810" spans="7:8">
      <c r="G1810" s="33"/>
      <c r="H1810" s="33"/>
    </row>
    <row r="1811" spans="7:8">
      <c r="G1811" s="33"/>
      <c r="H1811" s="33"/>
    </row>
    <row r="1812" spans="7:8">
      <c r="G1812" s="33"/>
      <c r="H1812" s="33"/>
    </row>
    <row r="1813" spans="7:8">
      <c r="G1813" s="33"/>
      <c r="H1813" s="33"/>
    </row>
    <row r="1814" spans="7:8">
      <c r="G1814" s="33"/>
      <c r="H1814" s="33"/>
    </row>
    <row r="1815" spans="7:8">
      <c r="G1815" s="33"/>
      <c r="H1815" s="33"/>
    </row>
    <row r="1816" spans="7:8">
      <c r="G1816" s="33"/>
      <c r="H1816" s="33"/>
    </row>
    <row r="1817" spans="7:8">
      <c r="G1817" s="33"/>
      <c r="H1817" s="33"/>
    </row>
    <row r="1818" spans="7:8">
      <c r="G1818" s="33"/>
      <c r="H1818" s="33"/>
    </row>
    <row r="1819" spans="7:8">
      <c r="G1819" s="33"/>
      <c r="H1819" s="33"/>
    </row>
    <row r="1820" spans="7:8">
      <c r="G1820" s="33"/>
      <c r="H1820" s="33"/>
    </row>
    <row r="1821" spans="7:8">
      <c r="G1821" s="33"/>
      <c r="H1821" s="33"/>
    </row>
    <row r="1822" spans="7:8">
      <c r="G1822" s="33"/>
      <c r="H1822" s="33"/>
    </row>
    <row r="1823" spans="7:8">
      <c r="G1823" s="33"/>
      <c r="H1823" s="33"/>
    </row>
    <row r="1824" spans="7:8">
      <c r="G1824" s="33"/>
      <c r="H1824" s="33"/>
    </row>
    <row r="1825" spans="7:8">
      <c r="G1825" s="33"/>
      <c r="H1825" s="33"/>
    </row>
    <row r="1826" spans="7:8">
      <c r="G1826" s="33"/>
      <c r="H1826" s="33"/>
    </row>
    <row r="1827" spans="7:8">
      <c r="G1827" s="33"/>
      <c r="H1827" s="33"/>
    </row>
    <row r="1828" spans="7:8">
      <c r="G1828" s="33"/>
      <c r="H1828" s="33"/>
    </row>
    <row r="1829" spans="7:8">
      <c r="G1829" s="33"/>
      <c r="H1829" s="33"/>
    </row>
    <row r="1830" spans="7:8">
      <c r="G1830" s="33"/>
      <c r="H1830" s="33"/>
    </row>
    <row r="1831" spans="7:8">
      <c r="G1831" s="33"/>
      <c r="H1831" s="33"/>
    </row>
    <row r="1832" spans="7:8">
      <c r="G1832" s="33"/>
      <c r="H1832" s="33"/>
    </row>
    <row r="1833" spans="7:8">
      <c r="G1833" s="33"/>
      <c r="H1833" s="33"/>
    </row>
    <row r="1834" spans="7:8">
      <c r="G1834" s="33"/>
      <c r="H1834" s="33"/>
    </row>
    <row r="1835" spans="7:8">
      <c r="G1835" s="33"/>
      <c r="H1835" s="33"/>
    </row>
    <row r="1836" spans="7:8">
      <c r="G1836" s="33"/>
      <c r="H1836" s="33"/>
    </row>
    <row r="1837" spans="7:8">
      <c r="G1837" s="33"/>
      <c r="H1837" s="33"/>
    </row>
    <row r="1838" spans="7:8">
      <c r="G1838" s="33"/>
      <c r="H1838" s="33"/>
    </row>
    <row r="1839" spans="7:8">
      <c r="G1839" s="33"/>
      <c r="H1839" s="33"/>
    </row>
    <row r="1840" spans="7:8">
      <c r="G1840" s="33"/>
      <c r="H1840" s="33"/>
    </row>
    <row r="1841" spans="7:8">
      <c r="G1841" s="33"/>
      <c r="H1841" s="33"/>
    </row>
    <row r="1842" spans="7:8">
      <c r="G1842" s="33"/>
      <c r="H1842" s="33"/>
    </row>
    <row r="1843" spans="7:8">
      <c r="G1843" s="33"/>
      <c r="H1843" s="33"/>
    </row>
    <row r="1844" spans="7:8">
      <c r="G1844" s="33"/>
      <c r="H1844" s="33"/>
    </row>
    <row r="1845" spans="7:8">
      <c r="G1845" s="33"/>
      <c r="H1845" s="33"/>
    </row>
    <row r="1846" spans="7:8">
      <c r="G1846" s="33"/>
      <c r="H1846" s="33"/>
    </row>
    <row r="1847" spans="7:8">
      <c r="G1847" s="33"/>
      <c r="H1847" s="33"/>
    </row>
    <row r="1848" spans="7:8">
      <c r="G1848" s="33"/>
      <c r="H1848" s="33"/>
    </row>
    <row r="1849" spans="7:8">
      <c r="G1849" s="33"/>
      <c r="H1849" s="33"/>
    </row>
    <row r="1850" spans="7:8">
      <c r="G1850" s="33"/>
      <c r="H1850" s="33"/>
    </row>
    <row r="1851" spans="7:8">
      <c r="G1851" s="33"/>
      <c r="H1851" s="33"/>
    </row>
    <row r="1852" spans="7:8">
      <c r="G1852" s="33"/>
      <c r="H1852" s="33"/>
    </row>
    <row r="1853" spans="7:8">
      <c r="G1853" s="33"/>
      <c r="H1853" s="33"/>
    </row>
    <row r="1854" spans="7:8">
      <c r="G1854" s="33"/>
      <c r="H1854" s="33"/>
    </row>
    <row r="1855" spans="7:8">
      <c r="G1855" s="33"/>
      <c r="H1855" s="33"/>
    </row>
    <row r="1856" spans="7:8">
      <c r="G1856" s="33"/>
      <c r="H1856" s="33"/>
    </row>
    <row r="1857" spans="7:8">
      <c r="G1857" s="33"/>
      <c r="H1857" s="33"/>
    </row>
    <row r="1858" spans="7:8">
      <c r="G1858" s="33"/>
      <c r="H1858" s="33"/>
    </row>
    <row r="1859" spans="7:8">
      <c r="G1859" s="33"/>
      <c r="H1859" s="33"/>
    </row>
    <row r="1860" spans="7:8">
      <c r="G1860" s="33"/>
      <c r="H1860" s="33"/>
    </row>
    <row r="1861" spans="7:8">
      <c r="G1861" s="33"/>
      <c r="H1861" s="33"/>
    </row>
    <row r="1862" spans="7:8">
      <c r="G1862" s="33"/>
      <c r="H1862" s="33"/>
    </row>
    <row r="1863" spans="7:8">
      <c r="G1863" s="33"/>
      <c r="H1863" s="33"/>
    </row>
    <row r="1864" spans="7:8">
      <c r="G1864" s="33"/>
      <c r="H1864" s="33"/>
    </row>
    <row r="1865" spans="7:8">
      <c r="G1865" s="33"/>
      <c r="H1865" s="33"/>
    </row>
    <row r="1866" spans="7:8">
      <c r="G1866" s="33"/>
      <c r="H1866" s="33"/>
    </row>
    <row r="1867" spans="7:8">
      <c r="G1867" s="33"/>
      <c r="H1867" s="33"/>
    </row>
    <row r="1868" spans="7:8">
      <c r="G1868" s="33"/>
      <c r="H1868" s="33"/>
    </row>
    <row r="1869" spans="7:8">
      <c r="G1869" s="33"/>
      <c r="H1869" s="33"/>
    </row>
    <row r="1870" spans="7:8">
      <c r="G1870" s="33"/>
      <c r="H1870" s="33"/>
    </row>
    <row r="1871" spans="7:8">
      <c r="G1871" s="33"/>
      <c r="H1871" s="33"/>
    </row>
    <row r="1872" spans="7:8">
      <c r="G1872" s="33"/>
      <c r="H1872" s="33"/>
    </row>
    <row r="1873" spans="7:8">
      <c r="G1873" s="33"/>
      <c r="H1873" s="33"/>
    </row>
    <row r="1874" spans="7:8">
      <c r="G1874" s="33"/>
      <c r="H1874" s="33"/>
    </row>
    <row r="1875" spans="7:8">
      <c r="G1875" s="33"/>
      <c r="H1875" s="33"/>
    </row>
    <row r="1876" spans="7:8">
      <c r="G1876" s="33"/>
      <c r="H1876" s="33"/>
    </row>
    <row r="1877" spans="7:8">
      <c r="G1877" s="33"/>
      <c r="H1877" s="33"/>
    </row>
    <row r="1878" spans="7:8">
      <c r="G1878" s="33"/>
      <c r="H1878" s="33"/>
    </row>
    <row r="1879" spans="7:8">
      <c r="G1879" s="33"/>
      <c r="H1879" s="33"/>
    </row>
    <row r="1880" spans="7:8">
      <c r="G1880" s="33"/>
      <c r="H1880" s="33"/>
    </row>
    <row r="1881" spans="7:8">
      <c r="G1881" s="33"/>
      <c r="H1881" s="33"/>
    </row>
    <row r="1882" spans="7:8">
      <c r="G1882" s="33"/>
      <c r="H1882" s="33"/>
    </row>
    <row r="1883" spans="7:8">
      <c r="G1883" s="33"/>
      <c r="H1883" s="33"/>
    </row>
    <row r="1884" spans="7:8">
      <c r="G1884" s="33"/>
      <c r="H1884" s="33"/>
    </row>
    <row r="1885" spans="7:8">
      <c r="G1885" s="33"/>
      <c r="H1885" s="33"/>
    </row>
    <row r="1886" spans="7:8">
      <c r="G1886" s="33"/>
      <c r="H1886" s="33"/>
    </row>
    <row r="1887" spans="7:8">
      <c r="G1887" s="33"/>
      <c r="H1887" s="33"/>
    </row>
    <row r="1888" spans="7:8">
      <c r="G1888" s="33"/>
      <c r="H1888" s="33"/>
    </row>
    <row r="1889" spans="7:8">
      <c r="G1889" s="33"/>
      <c r="H1889" s="33"/>
    </row>
    <row r="1890" spans="7:8">
      <c r="G1890" s="33"/>
      <c r="H1890" s="33"/>
    </row>
    <row r="1891" spans="7:8">
      <c r="G1891" s="33"/>
      <c r="H1891" s="33"/>
    </row>
    <row r="1892" spans="7:8">
      <c r="G1892" s="33"/>
      <c r="H1892" s="33"/>
    </row>
    <row r="1893" spans="7:8">
      <c r="G1893" s="33"/>
      <c r="H1893" s="33"/>
    </row>
    <row r="1894" spans="7:8">
      <c r="G1894" s="33"/>
      <c r="H1894" s="33"/>
    </row>
    <row r="1895" spans="7:8">
      <c r="G1895" s="33"/>
      <c r="H1895" s="33"/>
    </row>
    <row r="1896" spans="7:8">
      <c r="G1896" s="33"/>
      <c r="H1896" s="33"/>
    </row>
    <row r="1897" spans="7:8">
      <c r="G1897" s="33"/>
      <c r="H1897" s="33"/>
    </row>
    <row r="1898" spans="7:8">
      <c r="G1898" s="33"/>
      <c r="H1898" s="33"/>
    </row>
    <row r="1899" spans="7:8">
      <c r="G1899" s="33"/>
      <c r="H1899" s="33"/>
    </row>
    <row r="1900" spans="7:8">
      <c r="G1900" s="33"/>
      <c r="H1900" s="33"/>
    </row>
    <row r="1901" spans="7:8">
      <c r="G1901" s="33"/>
      <c r="H1901" s="33"/>
    </row>
    <row r="1902" spans="7:8">
      <c r="G1902" s="33"/>
      <c r="H1902" s="33"/>
    </row>
    <row r="1903" spans="7:8">
      <c r="G1903" s="33"/>
      <c r="H1903" s="33"/>
    </row>
    <row r="1904" spans="7:8">
      <c r="G1904" s="33"/>
      <c r="H1904" s="33"/>
    </row>
    <row r="1905" spans="7:8">
      <c r="G1905" s="33"/>
      <c r="H1905" s="33"/>
    </row>
    <row r="1906" spans="7:8">
      <c r="G1906" s="33"/>
      <c r="H1906" s="33"/>
    </row>
    <row r="1907" spans="7:8">
      <c r="G1907" s="33"/>
      <c r="H1907" s="33"/>
    </row>
    <row r="1908" spans="7:8">
      <c r="G1908" s="33"/>
      <c r="H1908" s="33"/>
    </row>
    <row r="1909" spans="7:8">
      <c r="G1909" s="33"/>
      <c r="H1909" s="33"/>
    </row>
    <row r="1910" spans="7:8">
      <c r="G1910" s="33"/>
      <c r="H1910" s="33"/>
    </row>
    <row r="1911" spans="7:8">
      <c r="G1911" s="33"/>
      <c r="H1911" s="33"/>
    </row>
    <row r="1912" spans="7:8">
      <c r="G1912" s="33"/>
      <c r="H1912" s="33"/>
    </row>
    <row r="1913" spans="7:8">
      <c r="G1913" s="33"/>
      <c r="H1913" s="33"/>
    </row>
    <row r="1914" spans="7:8">
      <c r="G1914" s="33"/>
      <c r="H1914" s="33"/>
    </row>
    <row r="1915" spans="7:8">
      <c r="G1915" s="33"/>
      <c r="H1915" s="33"/>
    </row>
    <row r="1916" spans="7:8">
      <c r="G1916" s="33"/>
      <c r="H1916" s="33"/>
    </row>
    <row r="1917" spans="7:8">
      <c r="G1917" s="33"/>
      <c r="H1917" s="33"/>
    </row>
    <row r="1918" spans="7:8">
      <c r="G1918" s="33"/>
      <c r="H1918" s="33"/>
    </row>
    <row r="1919" spans="7:8">
      <c r="G1919" s="33"/>
      <c r="H1919" s="33"/>
    </row>
    <row r="1920" spans="7:8">
      <c r="G1920" s="33"/>
      <c r="H1920" s="33"/>
    </row>
    <row r="1921" spans="7:8">
      <c r="G1921" s="33"/>
      <c r="H1921" s="33"/>
    </row>
    <row r="1922" spans="7:8">
      <c r="G1922" s="33"/>
      <c r="H1922" s="33"/>
    </row>
    <row r="1923" spans="7:8">
      <c r="G1923" s="33"/>
      <c r="H1923" s="33"/>
    </row>
    <row r="1924" spans="7:8">
      <c r="G1924" s="33"/>
      <c r="H1924" s="33"/>
    </row>
    <row r="1925" spans="7:8">
      <c r="G1925" s="33"/>
      <c r="H1925" s="33"/>
    </row>
    <row r="1926" spans="7:8">
      <c r="G1926" s="33"/>
      <c r="H1926" s="33"/>
    </row>
    <row r="1927" spans="7:8">
      <c r="G1927" s="33"/>
      <c r="H1927" s="33"/>
    </row>
    <row r="1928" spans="7:8">
      <c r="G1928" s="33"/>
      <c r="H1928" s="33"/>
    </row>
    <row r="1929" spans="7:8">
      <c r="G1929" s="33"/>
      <c r="H1929" s="33"/>
    </row>
    <row r="1930" spans="7:8">
      <c r="G1930" s="33"/>
      <c r="H1930" s="33"/>
    </row>
    <row r="1931" spans="7:8">
      <c r="G1931" s="33"/>
      <c r="H1931" s="33"/>
    </row>
    <row r="1932" spans="7:8">
      <c r="G1932" s="33"/>
      <c r="H1932" s="33"/>
    </row>
    <row r="1933" spans="7:8">
      <c r="G1933" s="33"/>
      <c r="H1933" s="33"/>
    </row>
    <row r="1934" spans="7:8">
      <c r="G1934" s="33"/>
      <c r="H1934" s="33"/>
    </row>
    <row r="1935" spans="7:8">
      <c r="G1935" s="33"/>
      <c r="H1935" s="33"/>
    </row>
    <row r="1936" spans="7:8">
      <c r="G1936" s="33"/>
      <c r="H1936" s="33"/>
    </row>
    <row r="1937" spans="7:8">
      <c r="G1937" s="33"/>
      <c r="H1937" s="33"/>
    </row>
    <row r="1938" spans="7:8">
      <c r="G1938" s="33"/>
      <c r="H1938" s="33"/>
    </row>
    <row r="1939" spans="7:8">
      <c r="G1939" s="33"/>
      <c r="H1939" s="33"/>
    </row>
    <row r="1940" spans="7:8">
      <c r="G1940" s="33"/>
      <c r="H1940" s="33"/>
    </row>
    <row r="1941" spans="7:8">
      <c r="G1941" s="33"/>
      <c r="H1941" s="33"/>
    </row>
    <row r="1942" spans="7:8">
      <c r="G1942" s="33"/>
      <c r="H1942" s="33"/>
    </row>
    <row r="1943" spans="7:8">
      <c r="G1943" s="33"/>
      <c r="H1943" s="33"/>
    </row>
    <row r="1944" spans="7:8">
      <c r="G1944" s="33"/>
      <c r="H1944" s="33"/>
    </row>
    <row r="1945" spans="7:8">
      <c r="G1945" s="33"/>
      <c r="H1945" s="33"/>
    </row>
    <row r="1946" spans="7:8">
      <c r="G1946" s="33"/>
      <c r="H1946" s="33"/>
    </row>
    <row r="1947" spans="7:8">
      <c r="G1947" s="33"/>
      <c r="H1947" s="33"/>
    </row>
    <row r="1948" spans="7:8">
      <c r="G1948" s="33"/>
      <c r="H1948" s="33"/>
    </row>
    <row r="1949" spans="7:8">
      <c r="G1949" s="33"/>
      <c r="H1949" s="33"/>
    </row>
    <row r="1950" spans="7:8">
      <c r="G1950" s="33"/>
      <c r="H1950" s="33"/>
    </row>
    <row r="1951" spans="7:8">
      <c r="G1951" s="33"/>
      <c r="H1951" s="33"/>
    </row>
    <row r="1952" spans="7:8">
      <c r="G1952" s="33"/>
      <c r="H1952" s="33"/>
    </row>
    <row r="1953" spans="7:8">
      <c r="G1953" s="33"/>
      <c r="H1953" s="33"/>
    </row>
    <row r="1954" spans="7:8">
      <c r="G1954" s="33"/>
      <c r="H1954" s="33"/>
    </row>
    <row r="1955" spans="7:8">
      <c r="G1955" s="33"/>
      <c r="H1955" s="33"/>
    </row>
    <row r="1956" spans="7:8">
      <c r="G1956" s="33"/>
      <c r="H1956" s="33"/>
    </row>
    <row r="1957" spans="7:8">
      <c r="G1957" s="33"/>
      <c r="H1957" s="33"/>
    </row>
    <row r="1958" spans="7:8">
      <c r="G1958" s="33"/>
      <c r="H1958" s="33"/>
    </row>
    <row r="1959" spans="7:8">
      <c r="G1959" s="33"/>
      <c r="H1959" s="33"/>
    </row>
    <row r="1960" spans="7:8">
      <c r="G1960" s="33"/>
      <c r="H1960" s="33"/>
    </row>
    <row r="1961" spans="7:8">
      <c r="G1961" s="33"/>
      <c r="H1961" s="33"/>
    </row>
    <row r="1962" spans="7:8">
      <c r="G1962" s="33"/>
      <c r="H1962" s="33"/>
    </row>
    <row r="1963" spans="7:8">
      <c r="G1963" s="33"/>
      <c r="H1963" s="33"/>
    </row>
    <row r="1964" spans="7:8">
      <c r="G1964" s="33"/>
      <c r="H1964" s="33"/>
    </row>
    <row r="1965" spans="7:8">
      <c r="G1965" s="33"/>
      <c r="H1965" s="33"/>
    </row>
    <row r="1966" spans="7:8">
      <c r="G1966" s="33"/>
      <c r="H1966" s="33"/>
    </row>
    <row r="1967" spans="7:8">
      <c r="G1967" s="33"/>
      <c r="H1967" s="33"/>
    </row>
    <row r="1968" spans="7:8">
      <c r="G1968" s="33"/>
      <c r="H1968" s="33"/>
    </row>
    <row r="1969" spans="7:8">
      <c r="G1969" s="33"/>
      <c r="H1969" s="33"/>
    </row>
    <row r="1970" spans="7:8">
      <c r="G1970" s="33"/>
      <c r="H1970" s="33"/>
    </row>
    <row r="1971" spans="7:8">
      <c r="G1971" s="33"/>
      <c r="H1971" s="33"/>
    </row>
    <row r="1972" spans="7:8">
      <c r="G1972" s="33"/>
      <c r="H1972" s="33"/>
    </row>
    <row r="1973" spans="7:8">
      <c r="G1973" s="33"/>
      <c r="H1973" s="33"/>
    </row>
    <row r="1974" spans="7:8">
      <c r="G1974" s="33"/>
      <c r="H1974" s="33"/>
    </row>
    <row r="1975" spans="7:8">
      <c r="G1975" s="33"/>
      <c r="H1975" s="33"/>
    </row>
    <row r="1976" spans="7:8">
      <c r="G1976" s="33"/>
      <c r="H1976" s="33"/>
    </row>
    <row r="1977" spans="7:8">
      <c r="G1977" s="33"/>
      <c r="H1977" s="33"/>
    </row>
    <row r="1978" spans="7:8">
      <c r="G1978" s="33"/>
      <c r="H1978" s="33"/>
    </row>
    <row r="1979" spans="7:8">
      <c r="G1979" s="33"/>
      <c r="H1979" s="33"/>
    </row>
    <row r="1980" spans="7:8">
      <c r="G1980" s="33"/>
      <c r="H1980" s="33"/>
    </row>
    <row r="1981" spans="7:8">
      <c r="G1981" s="33"/>
      <c r="H1981" s="33"/>
    </row>
    <row r="1982" spans="7:8">
      <c r="G1982" s="33"/>
      <c r="H1982" s="33"/>
    </row>
    <row r="1983" spans="7:8">
      <c r="G1983" s="33"/>
      <c r="H1983" s="33"/>
    </row>
    <row r="1984" spans="7:8">
      <c r="G1984" s="33"/>
      <c r="H1984" s="33"/>
    </row>
    <row r="1985" spans="7:8">
      <c r="G1985" s="33"/>
      <c r="H1985" s="33"/>
    </row>
    <row r="1986" spans="7:8">
      <c r="G1986" s="33"/>
      <c r="H1986" s="33"/>
    </row>
    <row r="1987" spans="7:8">
      <c r="G1987" s="33"/>
      <c r="H1987" s="33"/>
    </row>
    <row r="1988" spans="7:8">
      <c r="G1988" s="33"/>
      <c r="H1988" s="33"/>
    </row>
    <row r="1989" spans="7:8">
      <c r="G1989" s="33"/>
      <c r="H1989" s="33"/>
    </row>
    <row r="1990" spans="7:8">
      <c r="G1990" s="33"/>
      <c r="H1990" s="33"/>
    </row>
    <row r="1991" spans="7:8">
      <c r="G1991" s="33"/>
      <c r="H1991" s="33"/>
    </row>
    <row r="1992" spans="7:8">
      <c r="G1992" s="33"/>
      <c r="H1992" s="33"/>
    </row>
    <row r="1993" spans="7:8">
      <c r="G1993" s="33"/>
      <c r="H1993" s="33"/>
    </row>
    <row r="1994" spans="7:8">
      <c r="G1994" s="33"/>
      <c r="H1994" s="33"/>
    </row>
    <row r="1995" spans="7:8">
      <c r="G1995" s="33"/>
      <c r="H1995" s="33"/>
    </row>
    <row r="1996" spans="7:8">
      <c r="G1996" s="33"/>
      <c r="H1996" s="33"/>
    </row>
    <row r="1997" spans="7:8">
      <c r="G1997" s="33"/>
      <c r="H1997" s="33"/>
    </row>
    <row r="1998" spans="7:8">
      <c r="G1998" s="33"/>
      <c r="H1998" s="33"/>
    </row>
    <row r="1999" spans="7:8">
      <c r="G1999" s="33"/>
      <c r="H1999" s="33"/>
    </row>
    <row r="2000" spans="7:8">
      <c r="G2000" s="33"/>
      <c r="H2000" s="33"/>
    </row>
    <row r="2001" spans="7:8">
      <c r="G2001" s="33"/>
      <c r="H2001" s="33"/>
    </row>
    <row r="2002" spans="7:8">
      <c r="G2002" s="33"/>
      <c r="H2002" s="33"/>
    </row>
    <row r="2003" spans="7:8">
      <c r="G2003" s="33"/>
      <c r="H2003" s="33"/>
    </row>
    <row r="2004" spans="7:8">
      <c r="G2004" s="33"/>
      <c r="H2004" s="33"/>
    </row>
    <row r="2005" spans="7:8">
      <c r="G2005" s="33"/>
      <c r="H2005" s="33"/>
    </row>
    <row r="2006" spans="7:8">
      <c r="G2006" s="33"/>
      <c r="H2006" s="33"/>
    </row>
    <row r="2007" spans="7:8">
      <c r="G2007" s="33"/>
      <c r="H2007" s="33"/>
    </row>
    <row r="2008" spans="7:8">
      <c r="G2008" s="33"/>
      <c r="H2008" s="33"/>
    </row>
    <row r="2009" spans="7:8">
      <c r="G2009" s="33"/>
      <c r="H2009" s="33"/>
    </row>
    <row r="2010" spans="7:8">
      <c r="G2010" s="33"/>
      <c r="H2010" s="33"/>
    </row>
    <row r="2011" spans="7:8">
      <c r="G2011" s="33"/>
      <c r="H2011" s="33"/>
    </row>
    <row r="2012" spans="7:8">
      <c r="G2012" s="33"/>
      <c r="H2012" s="33"/>
    </row>
    <row r="2013" spans="7:8">
      <c r="G2013" s="33"/>
      <c r="H2013" s="33"/>
    </row>
    <row r="2014" spans="7:8">
      <c r="G2014" s="33"/>
      <c r="H2014" s="33"/>
    </row>
    <row r="2015" spans="7:8">
      <c r="G2015" s="33"/>
      <c r="H2015" s="33"/>
    </row>
    <row r="2016" spans="7:8">
      <c r="G2016" s="33"/>
      <c r="H2016" s="33"/>
    </row>
    <row r="2017" spans="7:8">
      <c r="G2017" s="33"/>
      <c r="H2017" s="33"/>
    </row>
    <row r="2018" spans="7:8">
      <c r="G2018" s="33"/>
      <c r="H2018" s="33"/>
    </row>
    <row r="2019" spans="7:8">
      <c r="G2019" s="33"/>
      <c r="H2019" s="33"/>
    </row>
    <row r="2020" spans="7:8">
      <c r="G2020" s="33"/>
      <c r="H2020" s="33"/>
    </row>
    <row r="2021" spans="7:8">
      <c r="G2021" s="33"/>
      <c r="H2021" s="33"/>
    </row>
    <row r="2022" spans="7:8">
      <c r="G2022" s="33"/>
      <c r="H2022" s="33"/>
    </row>
    <row r="2023" spans="7:8">
      <c r="G2023" s="33"/>
      <c r="H2023" s="33"/>
    </row>
    <row r="2024" spans="7:8">
      <c r="G2024" s="33"/>
      <c r="H2024" s="33"/>
    </row>
    <row r="2025" spans="7:8">
      <c r="G2025" s="33"/>
      <c r="H2025" s="33"/>
    </row>
    <row r="2026" spans="7:8">
      <c r="G2026" s="33"/>
      <c r="H2026" s="33"/>
    </row>
    <row r="2027" spans="7:8">
      <c r="G2027" s="33"/>
      <c r="H2027" s="33"/>
    </row>
    <row r="2028" spans="7:8">
      <c r="G2028" s="33"/>
      <c r="H2028" s="33"/>
    </row>
    <row r="2029" spans="7:8">
      <c r="G2029" s="33"/>
      <c r="H2029" s="33"/>
    </row>
    <row r="2030" spans="7:8">
      <c r="G2030" s="33"/>
      <c r="H2030" s="33"/>
    </row>
    <row r="2031" spans="7:8">
      <c r="G2031" s="33"/>
      <c r="H2031" s="33"/>
    </row>
    <row r="2032" spans="7:8">
      <c r="G2032" s="33"/>
      <c r="H2032" s="33"/>
    </row>
    <row r="2033" spans="7:8">
      <c r="G2033" s="33"/>
      <c r="H2033" s="33"/>
    </row>
    <row r="2034" spans="7:8">
      <c r="G2034" s="33"/>
      <c r="H2034" s="33"/>
    </row>
    <row r="2035" spans="7:8">
      <c r="G2035" s="33"/>
      <c r="H2035" s="33"/>
    </row>
    <row r="2036" spans="7:8">
      <c r="G2036" s="33"/>
      <c r="H2036" s="33"/>
    </row>
    <row r="2037" spans="7:8">
      <c r="G2037" s="33"/>
      <c r="H2037" s="33"/>
    </row>
    <row r="2038" spans="7:8">
      <c r="G2038" s="33"/>
      <c r="H2038" s="33"/>
    </row>
    <row r="2039" spans="7:8">
      <c r="G2039" s="33"/>
      <c r="H2039" s="33"/>
    </row>
    <row r="2040" spans="7:8">
      <c r="G2040" s="33"/>
      <c r="H2040" s="33"/>
    </row>
    <row r="2041" spans="7:8">
      <c r="G2041" s="33"/>
      <c r="H2041" s="33"/>
    </row>
    <row r="2042" spans="7:8">
      <c r="G2042" s="33"/>
      <c r="H2042" s="33"/>
    </row>
    <row r="2043" spans="7:8">
      <c r="G2043" s="33"/>
      <c r="H2043" s="33"/>
    </row>
    <row r="2044" spans="7:8">
      <c r="G2044" s="33"/>
      <c r="H2044" s="33"/>
    </row>
    <row r="2045" spans="7:8">
      <c r="G2045" s="33"/>
      <c r="H2045" s="33"/>
    </row>
    <row r="2046" spans="7:8">
      <c r="G2046" s="33"/>
      <c r="H2046" s="33"/>
    </row>
    <row r="2047" spans="7:8">
      <c r="G2047" s="33"/>
      <c r="H2047" s="33"/>
    </row>
    <row r="2048" spans="7:8">
      <c r="G2048" s="33"/>
      <c r="H2048" s="33"/>
    </row>
    <row r="2049" spans="7:8">
      <c r="G2049" s="33"/>
      <c r="H2049" s="33"/>
    </row>
    <row r="2050" spans="7:8">
      <c r="G2050" s="33"/>
      <c r="H2050" s="33"/>
    </row>
    <row r="2051" spans="7:8">
      <c r="G2051" s="33"/>
      <c r="H2051" s="33"/>
    </row>
    <row r="2052" spans="7:8">
      <c r="G2052" s="33"/>
      <c r="H2052" s="33"/>
    </row>
    <row r="2053" spans="7:8">
      <c r="G2053" s="33"/>
      <c r="H2053" s="33"/>
    </row>
    <row r="2054" spans="7:8">
      <c r="G2054" s="33"/>
      <c r="H2054" s="33"/>
    </row>
    <row r="2055" spans="7:8">
      <c r="G2055" s="33"/>
      <c r="H2055" s="33"/>
    </row>
    <row r="2056" spans="7:8">
      <c r="G2056" s="33"/>
      <c r="H2056" s="33"/>
    </row>
    <row r="2057" spans="7:8">
      <c r="G2057" s="33"/>
      <c r="H2057" s="33"/>
    </row>
    <row r="2058" spans="7:8">
      <c r="G2058" s="33"/>
      <c r="H2058" s="33"/>
    </row>
    <row r="2059" spans="7:8">
      <c r="G2059" s="33"/>
      <c r="H2059" s="33"/>
    </row>
    <row r="2060" spans="7:8">
      <c r="G2060" s="33"/>
      <c r="H2060" s="33"/>
    </row>
    <row r="2061" spans="7:8">
      <c r="G2061" s="33"/>
      <c r="H2061" s="33"/>
    </row>
    <row r="2062" spans="7:8">
      <c r="G2062" s="33"/>
      <c r="H2062" s="33"/>
    </row>
    <row r="2063" spans="7:8">
      <c r="G2063" s="33"/>
      <c r="H2063" s="33"/>
    </row>
    <row r="2064" spans="7:8">
      <c r="G2064" s="33"/>
      <c r="H2064" s="33"/>
    </row>
    <row r="2065" spans="7:8">
      <c r="G2065" s="33"/>
      <c r="H2065" s="33"/>
    </row>
    <row r="2066" spans="7:8">
      <c r="G2066" s="33"/>
      <c r="H2066" s="33"/>
    </row>
    <row r="2067" spans="7:8">
      <c r="G2067" s="33"/>
      <c r="H2067" s="33"/>
    </row>
    <row r="2068" spans="7:8">
      <c r="G2068" s="33"/>
      <c r="H2068" s="33"/>
    </row>
    <row r="2069" spans="7:8">
      <c r="G2069" s="33"/>
      <c r="H2069" s="33"/>
    </row>
    <row r="2070" spans="7:8">
      <c r="G2070" s="33"/>
      <c r="H2070" s="33"/>
    </row>
    <row r="2071" spans="7:8">
      <c r="G2071" s="33"/>
      <c r="H2071" s="33"/>
    </row>
    <row r="2072" spans="7:8">
      <c r="G2072" s="33"/>
      <c r="H2072" s="33"/>
    </row>
    <row r="2073" spans="7:8">
      <c r="G2073" s="33"/>
      <c r="H2073" s="33"/>
    </row>
    <row r="2074" spans="7:8">
      <c r="G2074" s="33"/>
      <c r="H2074" s="33"/>
    </row>
    <row r="2075" spans="7:8">
      <c r="G2075" s="33"/>
      <c r="H2075" s="33"/>
    </row>
    <row r="2076" spans="7:8">
      <c r="G2076" s="33"/>
      <c r="H2076" s="33"/>
    </row>
    <row r="2077" spans="7:8">
      <c r="G2077" s="33"/>
      <c r="H2077" s="33"/>
    </row>
    <row r="2078" spans="7:8">
      <c r="G2078" s="33"/>
      <c r="H2078" s="33"/>
    </row>
    <row r="2079" spans="7:8">
      <c r="G2079" s="33"/>
      <c r="H2079" s="33"/>
    </row>
    <row r="2080" spans="7:8">
      <c r="G2080" s="33"/>
      <c r="H2080" s="33"/>
    </row>
    <row r="2081" spans="7:8">
      <c r="G2081" s="33"/>
      <c r="H2081" s="33"/>
    </row>
    <row r="2082" spans="7:8">
      <c r="G2082" s="33"/>
      <c r="H2082" s="33"/>
    </row>
    <row r="2083" spans="7:8">
      <c r="G2083" s="33"/>
      <c r="H2083" s="33"/>
    </row>
    <row r="2084" spans="7:8">
      <c r="G2084" s="33"/>
      <c r="H2084" s="33"/>
    </row>
    <row r="2085" spans="7:8">
      <c r="G2085" s="33"/>
      <c r="H2085" s="33"/>
    </row>
    <row r="2086" spans="7:8">
      <c r="G2086" s="33"/>
      <c r="H2086" s="33"/>
    </row>
    <row r="2087" spans="7:8">
      <c r="G2087" s="33"/>
      <c r="H2087" s="33"/>
    </row>
    <row r="2088" spans="7:8">
      <c r="G2088" s="33"/>
      <c r="H2088" s="33"/>
    </row>
    <row r="2089" spans="7:8">
      <c r="G2089" s="33"/>
      <c r="H2089" s="33"/>
    </row>
    <row r="2090" spans="7:8">
      <c r="G2090" s="33"/>
      <c r="H2090" s="33"/>
    </row>
    <row r="2091" spans="7:8">
      <c r="G2091" s="33"/>
      <c r="H2091" s="33"/>
    </row>
    <row r="2092" spans="7:8">
      <c r="G2092" s="33"/>
      <c r="H2092" s="33"/>
    </row>
    <row r="2093" spans="7:8">
      <c r="G2093" s="33"/>
      <c r="H2093" s="33"/>
    </row>
    <row r="2094" spans="7:8">
      <c r="G2094" s="33"/>
      <c r="H2094" s="33"/>
    </row>
    <row r="2095" spans="7:8">
      <c r="G2095" s="33"/>
      <c r="H2095" s="33"/>
    </row>
    <row r="2096" spans="7:8">
      <c r="G2096" s="33"/>
      <c r="H2096" s="33"/>
    </row>
    <row r="2097" spans="7:8">
      <c r="G2097" s="33"/>
      <c r="H2097" s="33"/>
    </row>
    <row r="2098" spans="7:8">
      <c r="G2098" s="33"/>
      <c r="H2098" s="33"/>
    </row>
    <row r="2099" spans="7:8">
      <c r="G2099" s="33"/>
      <c r="H2099" s="33"/>
    </row>
    <row r="2100" spans="7:8">
      <c r="G2100" s="33"/>
      <c r="H2100" s="33"/>
    </row>
    <row r="2101" spans="7:8">
      <c r="G2101" s="33"/>
      <c r="H2101" s="33"/>
    </row>
    <row r="2102" spans="7:8">
      <c r="G2102" s="33"/>
      <c r="H2102" s="33"/>
    </row>
    <row r="2103" spans="7:8">
      <c r="G2103" s="33"/>
      <c r="H2103" s="33"/>
    </row>
    <row r="2104" spans="7:8">
      <c r="G2104" s="33"/>
      <c r="H2104" s="33"/>
    </row>
    <row r="2105" spans="7:8">
      <c r="G2105" s="33"/>
      <c r="H2105" s="33"/>
    </row>
    <row r="2106" spans="7:8">
      <c r="G2106" s="33"/>
      <c r="H2106" s="33"/>
    </row>
    <row r="2107" spans="7:8">
      <c r="G2107" s="33"/>
      <c r="H2107" s="33"/>
    </row>
    <row r="2108" spans="7:8">
      <c r="G2108" s="33"/>
      <c r="H2108" s="33"/>
    </row>
    <row r="2109" spans="7:8">
      <c r="G2109" s="33"/>
      <c r="H2109" s="33"/>
    </row>
    <row r="2110" spans="7:8">
      <c r="G2110" s="33"/>
      <c r="H2110" s="33"/>
    </row>
    <row r="2111" spans="7:8">
      <c r="G2111" s="33"/>
      <c r="H2111" s="33"/>
    </row>
    <row r="2112" spans="7:8">
      <c r="G2112" s="33"/>
      <c r="H2112" s="33"/>
    </row>
    <row r="2113" spans="7:8">
      <c r="G2113" s="33"/>
      <c r="H2113" s="33"/>
    </row>
    <row r="2114" spans="7:8">
      <c r="G2114" s="33"/>
      <c r="H2114" s="33"/>
    </row>
    <row r="2115" spans="7:8">
      <c r="G2115" s="33"/>
      <c r="H2115" s="33"/>
    </row>
    <row r="2116" spans="7:8">
      <c r="G2116" s="33"/>
      <c r="H2116" s="33"/>
    </row>
    <row r="2117" spans="7:8">
      <c r="G2117" s="33"/>
      <c r="H2117" s="33"/>
    </row>
    <row r="2118" spans="7:8">
      <c r="G2118" s="33"/>
      <c r="H2118" s="33"/>
    </row>
    <row r="2119" spans="7:8">
      <c r="G2119" s="33"/>
      <c r="H2119" s="33"/>
    </row>
    <row r="2120" spans="7:8">
      <c r="G2120" s="33"/>
      <c r="H2120" s="33"/>
    </row>
    <row r="2121" spans="7:8">
      <c r="G2121" s="33"/>
      <c r="H2121" s="33"/>
    </row>
    <row r="2122" spans="7:8">
      <c r="G2122" s="33"/>
      <c r="H2122" s="33"/>
    </row>
    <row r="2123" spans="7:8">
      <c r="G2123" s="33"/>
      <c r="H2123" s="33"/>
    </row>
    <row r="2124" spans="7:8">
      <c r="G2124" s="33"/>
      <c r="H2124" s="33"/>
    </row>
    <row r="2125" spans="7:8">
      <c r="G2125" s="33"/>
      <c r="H2125" s="33"/>
    </row>
    <row r="2126" spans="7:8">
      <c r="G2126" s="33"/>
      <c r="H2126" s="33"/>
    </row>
    <row r="2127" spans="7:8">
      <c r="G2127" s="33"/>
      <c r="H2127" s="33"/>
    </row>
    <row r="2128" spans="7:8">
      <c r="G2128" s="33"/>
      <c r="H2128" s="33"/>
    </row>
    <row r="2129" spans="7:8">
      <c r="G2129" s="33"/>
      <c r="H2129" s="33"/>
    </row>
    <row r="2130" spans="7:8">
      <c r="G2130" s="33"/>
      <c r="H2130" s="33"/>
    </row>
    <row r="2131" spans="7:8">
      <c r="G2131" s="33"/>
      <c r="H2131" s="33"/>
    </row>
    <row r="2132" spans="7:8">
      <c r="G2132" s="33"/>
      <c r="H2132" s="33"/>
    </row>
    <row r="2133" spans="7:8">
      <c r="G2133" s="33"/>
      <c r="H2133" s="33"/>
    </row>
    <row r="2134" spans="7:8">
      <c r="G2134" s="33"/>
      <c r="H2134" s="33"/>
    </row>
    <row r="2135" spans="7:8">
      <c r="G2135" s="33"/>
      <c r="H2135" s="33"/>
    </row>
    <row r="2136" spans="7:8">
      <c r="G2136" s="33"/>
      <c r="H2136" s="33"/>
    </row>
    <row r="2137" spans="7:8">
      <c r="G2137" s="33"/>
      <c r="H2137" s="33"/>
    </row>
    <row r="2138" spans="7:8">
      <c r="G2138" s="33"/>
      <c r="H2138" s="33"/>
    </row>
    <row r="2139" spans="7:8">
      <c r="G2139" s="33"/>
      <c r="H2139" s="33"/>
    </row>
    <row r="2140" spans="7:8">
      <c r="G2140" s="33"/>
      <c r="H2140" s="33"/>
    </row>
    <row r="2141" spans="7:8">
      <c r="G2141" s="33"/>
      <c r="H2141" s="33"/>
    </row>
    <row r="2142" spans="7:8">
      <c r="G2142" s="33"/>
      <c r="H2142" s="33"/>
    </row>
    <row r="2143" spans="7:8">
      <c r="G2143" s="33"/>
      <c r="H2143" s="33"/>
    </row>
    <row r="2144" spans="7:8">
      <c r="G2144" s="33"/>
      <c r="H2144" s="33"/>
    </row>
    <row r="2145" spans="7:8">
      <c r="G2145" s="33"/>
      <c r="H2145" s="33"/>
    </row>
    <row r="2146" spans="7:8">
      <c r="G2146" s="33"/>
      <c r="H2146" s="33"/>
    </row>
    <row r="2147" spans="7:8">
      <c r="G2147" s="33"/>
      <c r="H2147" s="33"/>
    </row>
    <row r="2148" spans="7:8">
      <c r="G2148" s="33"/>
      <c r="H2148" s="33"/>
    </row>
    <row r="2149" spans="7:8">
      <c r="G2149" s="33"/>
      <c r="H2149" s="33"/>
    </row>
    <row r="2150" spans="7:8">
      <c r="G2150" s="33"/>
      <c r="H2150" s="33"/>
    </row>
    <row r="2151" spans="7:8">
      <c r="G2151" s="33"/>
      <c r="H2151" s="33"/>
    </row>
    <row r="2152" spans="7:8">
      <c r="G2152" s="33"/>
      <c r="H2152" s="33"/>
    </row>
    <row r="2153" spans="7:8">
      <c r="G2153" s="33"/>
      <c r="H2153" s="33"/>
    </row>
    <row r="2154" spans="7:8">
      <c r="G2154" s="33"/>
      <c r="H2154" s="33"/>
    </row>
    <row r="2155" spans="7:8">
      <c r="G2155" s="33"/>
      <c r="H2155" s="33"/>
    </row>
    <row r="2156" spans="7:8">
      <c r="G2156" s="33"/>
      <c r="H2156" s="33"/>
    </row>
    <row r="2157" spans="7:8">
      <c r="G2157" s="33"/>
      <c r="H2157" s="33"/>
    </row>
    <row r="2158" spans="7:8">
      <c r="G2158" s="33"/>
      <c r="H2158" s="33"/>
    </row>
    <row r="2159" spans="7:8">
      <c r="G2159" s="33"/>
      <c r="H2159" s="33"/>
    </row>
    <row r="2160" spans="7:8">
      <c r="G2160" s="33"/>
      <c r="H2160" s="33"/>
    </row>
    <row r="2161" spans="7:8">
      <c r="G2161" s="33"/>
      <c r="H2161" s="33"/>
    </row>
    <row r="2162" spans="7:8">
      <c r="G2162" s="33"/>
      <c r="H2162" s="33"/>
    </row>
    <row r="2163" spans="7:8">
      <c r="G2163" s="33"/>
      <c r="H2163" s="33"/>
    </row>
    <row r="2164" spans="7:8">
      <c r="G2164" s="33"/>
      <c r="H2164" s="33"/>
    </row>
    <row r="2165" spans="7:8">
      <c r="G2165" s="33"/>
      <c r="H2165" s="33"/>
    </row>
    <row r="2166" spans="7:8">
      <c r="G2166" s="33"/>
      <c r="H2166" s="33"/>
    </row>
    <row r="2167" spans="7:8">
      <c r="G2167" s="33"/>
      <c r="H2167" s="33"/>
    </row>
    <row r="2168" spans="7:8">
      <c r="G2168" s="33"/>
      <c r="H2168" s="33"/>
    </row>
    <row r="2169" spans="7:8">
      <c r="G2169" s="33"/>
      <c r="H2169" s="33"/>
    </row>
    <row r="2170" spans="7:8">
      <c r="G2170" s="33"/>
      <c r="H2170" s="33"/>
    </row>
    <row r="2171" spans="7:8">
      <c r="G2171" s="33"/>
      <c r="H2171" s="33"/>
    </row>
    <row r="2172" spans="7:8">
      <c r="G2172" s="33"/>
      <c r="H2172" s="33"/>
    </row>
    <row r="2173" spans="7:8">
      <c r="G2173" s="33"/>
      <c r="H2173" s="33"/>
    </row>
    <row r="2174" spans="7:8">
      <c r="G2174" s="33"/>
      <c r="H2174" s="33"/>
    </row>
    <row r="2175" spans="7:8">
      <c r="G2175" s="33"/>
      <c r="H2175" s="33"/>
    </row>
    <row r="2176" spans="7:8">
      <c r="G2176" s="33"/>
      <c r="H2176" s="33"/>
    </row>
    <row r="2177" spans="7:8">
      <c r="G2177" s="33"/>
      <c r="H2177" s="33"/>
    </row>
    <row r="2178" spans="7:8">
      <c r="G2178" s="33"/>
      <c r="H2178" s="33"/>
    </row>
    <row r="2179" spans="7:8">
      <c r="G2179" s="33"/>
      <c r="H2179" s="33"/>
    </row>
    <row r="2180" spans="7:8">
      <c r="G2180" s="33"/>
      <c r="H2180" s="33"/>
    </row>
    <row r="2181" spans="7:8">
      <c r="G2181" s="33"/>
      <c r="H2181" s="33"/>
    </row>
    <row r="2182" spans="7:8">
      <c r="G2182" s="33"/>
      <c r="H2182" s="33"/>
    </row>
    <row r="2183" spans="7:8">
      <c r="G2183" s="33"/>
      <c r="H2183" s="33"/>
    </row>
    <row r="2184" spans="7:8">
      <c r="G2184" s="33"/>
      <c r="H2184" s="33"/>
    </row>
    <row r="2185" spans="7:8">
      <c r="G2185" s="33"/>
      <c r="H2185" s="33"/>
    </row>
    <row r="2186" spans="7:8">
      <c r="G2186" s="33"/>
      <c r="H2186" s="33"/>
    </row>
    <row r="2187" spans="7:8">
      <c r="G2187" s="33"/>
      <c r="H2187" s="33"/>
    </row>
    <row r="2188" spans="7:8">
      <c r="G2188" s="33"/>
      <c r="H2188" s="33"/>
    </row>
    <row r="2189" spans="7:8">
      <c r="G2189" s="33"/>
      <c r="H2189" s="33"/>
    </row>
    <row r="2190" spans="7:8">
      <c r="G2190" s="33"/>
      <c r="H2190" s="33"/>
    </row>
    <row r="2191" spans="7:8">
      <c r="G2191" s="33"/>
      <c r="H2191" s="33"/>
    </row>
    <row r="2192" spans="7:8">
      <c r="G2192" s="33"/>
      <c r="H2192" s="33"/>
    </row>
    <row r="2193" spans="7:8">
      <c r="G2193" s="33"/>
      <c r="H2193" s="33"/>
    </row>
    <row r="2194" spans="7:8">
      <c r="G2194" s="33"/>
      <c r="H2194" s="33"/>
    </row>
    <row r="2195" spans="7:8">
      <c r="G2195" s="33"/>
      <c r="H2195" s="33"/>
    </row>
    <row r="2196" spans="7:8">
      <c r="G2196" s="33"/>
      <c r="H2196" s="33"/>
    </row>
    <row r="2197" spans="7:8">
      <c r="G2197" s="33"/>
      <c r="H2197" s="33"/>
    </row>
    <row r="2198" spans="7:8">
      <c r="G2198" s="33"/>
      <c r="H2198" s="33"/>
    </row>
    <row r="2199" spans="7:8">
      <c r="G2199" s="33"/>
      <c r="H2199" s="33"/>
    </row>
    <row r="2200" spans="7:8">
      <c r="G2200" s="33"/>
      <c r="H2200" s="33"/>
    </row>
    <row r="2201" spans="7:8">
      <c r="G2201" s="33"/>
      <c r="H2201" s="33"/>
    </row>
    <row r="2202" spans="7:8">
      <c r="G2202" s="33"/>
      <c r="H2202" s="33"/>
    </row>
    <row r="2203" spans="7:8">
      <c r="G2203" s="33"/>
      <c r="H2203" s="33"/>
    </row>
    <row r="2204" spans="7:8">
      <c r="G2204" s="33"/>
      <c r="H2204" s="33"/>
    </row>
    <row r="2205" spans="7:8">
      <c r="G2205" s="33"/>
      <c r="H2205" s="33"/>
    </row>
    <row r="2206" spans="7:8">
      <c r="G2206" s="33"/>
      <c r="H2206" s="33"/>
    </row>
    <row r="2207" spans="7:8">
      <c r="G2207" s="33"/>
      <c r="H2207" s="33"/>
    </row>
    <row r="2208" spans="7:8">
      <c r="G2208" s="33"/>
      <c r="H2208" s="33"/>
    </row>
    <row r="2209" spans="7:8">
      <c r="G2209" s="33"/>
      <c r="H2209" s="33"/>
    </row>
    <row r="2210" spans="7:8">
      <c r="G2210" s="33"/>
      <c r="H2210" s="33"/>
    </row>
    <row r="2211" spans="7:8">
      <c r="G2211" s="33"/>
      <c r="H2211" s="33"/>
    </row>
    <row r="2212" spans="7:8">
      <c r="G2212" s="33"/>
      <c r="H2212" s="33"/>
    </row>
    <row r="2213" spans="7:8">
      <c r="G2213" s="33"/>
      <c r="H2213" s="33"/>
    </row>
    <row r="2214" spans="7:8">
      <c r="G2214" s="33"/>
      <c r="H2214" s="33"/>
    </row>
    <row r="2215" spans="7:8">
      <c r="G2215" s="33"/>
      <c r="H2215" s="33"/>
    </row>
    <row r="2216" spans="7:8">
      <c r="G2216" s="33"/>
      <c r="H2216" s="33"/>
    </row>
    <row r="2217" spans="7:8">
      <c r="G2217" s="33"/>
      <c r="H2217" s="33"/>
    </row>
    <row r="2218" spans="7:8">
      <c r="G2218" s="33"/>
      <c r="H2218" s="33"/>
    </row>
    <row r="2219" spans="7:8">
      <c r="G2219" s="33"/>
      <c r="H2219" s="33"/>
    </row>
    <row r="2220" spans="7:8">
      <c r="G2220" s="33"/>
      <c r="H2220" s="33"/>
    </row>
    <row r="2221" spans="7:8">
      <c r="G2221" s="33"/>
      <c r="H2221" s="33"/>
    </row>
    <row r="2222" spans="7:8">
      <c r="G2222" s="33"/>
      <c r="H2222" s="33"/>
    </row>
    <row r="2223" spans="7:8">
      <c r="G2223" s="33"/>
      <c r="H2223" s="33"/>
    </row>
    <row r="2224" spans="7:8">
      <c r="G2224" s="33"/>
      <c r="H2224" s="33"/>
    </row>
    <row r="2225" spans="7:8">
      <c r="G2225" s="33"/>
      <c r="H2225" s="33"/>
    </row>
    <row r="2226" spans="7:8">
      <c r="G2226" s="33"/>
      <c r="H2226" s="33"/>
    </row>
    <row r="2227" spans="7:8">
      <c r="G2227" s="33"/>
      <c r="H2227" s="33"/>
    </row>
    <row r="2228" spans="7:8">
      <c r="G2228" s="33"/>
      <c r="H2228" s="33"/>
    </row>
    <row r="2229" spans="7:8">
      <c r="G2229" s="33"/>
      <c r="H2229" s="33"/>
    </row>
    <row r="2230" spans="7:8">
      <c r="G2230" s="33"/>
      <c r="H2230" s="33"/>
    </row>
    <row r="2231" spans="7:8">
      <c r="G2231" s="33"/>
      <c r="H2231" s="33"/>
    </row>
    <row r="2232" spans="7:8">
      <c r="G2232" s="33"/>
      <c r="H2232" s="33"/>
    </row>
    <row r="2233" spans="7:8">
      <c r="G2233" s="33"/>
      <c r="H2233" s="33"/>
    </row>
    <row r="2234" spans="7:8">
      <c r="G2234" s="33"/>
      <c r="H2234" s="33"/>
    </row>
    <row r="2235" spans="7:8">
      <c r="G2235" s="33"/>
      <c r="H2235" s="33"/>
    </row>
    <row r="2236" spans="7:8">
      <c r="G2236" s="33"/>
      <c r="H2236" s="33"/>
    </row>
    <row r="2237" spans="7:8">
      <c r="G2237" s="33"/>
      <c r="H2237" s="33"/>
    </row>
    <row r="2238" spans="7:8">
      <c r="G2238" s="33"/>
      <c r="H2238" s="33"/>
    </row>
    <row r="2239" spans="7:8">
      <c r="G2239" s="33"/>
      <c r="H2239" s="33"/>
    </row>
    <row r="2240" spans="7:8">
      <c r="G2240" s="33"/>
      <c r="H2240" s="33"/>
    </row>
    <row r="2241" spans="7:8">
      <c r="G2241" s="33"/>
      <c r="H2241" s="33"/>
    </row>
    <row r="2242" spans="7:8">
      <c r="G2242" s="33"/>
      <c r="H2242" s="33"/>
    </row>
    <row r="2243" spans="7:8">
      <c r="G2243" s="33"/>
      <c r="H2243" s="33"/>
    </row>
    <row r="2244" spans="7:8">
      <c r="G2244" s="33"/>
      <c r="H2244" s="33"/>
    </row>
    <row r="2245" spans="7:8">
      <c r="G2245" s="33"/>
      <c r="H2245" s="33"/>
    </row>
    <row r="2246" spans="7:8">
      <c r="G2246" s="33"/>
      <c r="H2246" s="33"/>
    </row>
    <row r="2247" spans="7:8">
      <c r="G2247" s="33"/>
      <c r="H2247" s="33"/>
    </row>
    <row r="2248" spans="7:8">
      <c r="G2248" s="33"/>
      <c r="H2248" s="33"/>
    </row>
    <row r="2249" spans="7:8">
      <c r="G2249" s="33"/>
      <c r="H2249" s="33"/>
    </row>
    <row r="2250" spans="7:8">
      <c r="G2250" s="33"/>
      <c r="H2250" s="33"/>
    </row>
    <row r="2251" spans="7:8">
      <c r="G2251" s="33"/>
      <c r="H2251" s="33"/>
    </row>
    <row r="2252" spans="7:8">
      <c r="G2252" s="33"/>
      <c r="H2252" s="33"/>
    </row>
    <row r="2253" spans="7:8">
      <c r="G2253" s="33"/>
      <c r="H2253" s="33"/>
    </row>
    <row r="2254" spans="7:8">
      <c r="G2254" s="33"/>
      <c r="H2254" s="33"/>
    </row>
    <row r="2255" spans="7:8">
      <c r="G2255" s="33"/>
      <c r="H2255" s="33"/>
    </row>
    <row r="2256" spans="7:8">
      <c r="G2256" s="33"/>
      <c r="H2256" s="33"/>
    </row>
    <row r="2257" spans="7:8">
      <c r="G2257" s="33"/>
      <c r="H2257" s="33"/>
    </row>
    <row r="2258" spans="7:8">
      <c r="G2258" s="33"/>
      <c r="H2258" s="33"/>
    </row>
    <row r="2259" spans="7:8">
      <c r="G2259" s="33"/>
      <c r="H2259" s="33"/>
    </row>
    <row r="2260" spans="7:8">
      <c r="G2260" s="33"/>
      <c r="H2260" s="33"/>
    </row>
    <row r="2261" spans="7:8">
      <c r="G2261" s="33"/>
      <c r="H2261" s="33"/>
    </row>
    <row r="2262" spans="7:8">
      <c r="G2262" s="33"/>
      <c r="H2262" s="33"/>
    </row>
    <row r="2263" spans="7:8">
      <c r="G2263" s="33"/>
      <c r="H2263" s="33"/>
    </row>
  </sheetData>
  <sheetProtection formatCells="0"/>
  <mergeCells count="6">
    <mergeCell ref="C45:I45"/>
    <mergeCell ref="A1:J1"/>
    <mergeCell ref="A2:J2"/>
    <mergeCell ref="A3:J3"/>
    <mergeCell ref="A5:J5"/>
    <mergeCell ref="A6:J6"/>
  </mergeCells>
  <phoneticPr fontId="0" type="noConversion"/>
  <printOptions horizontalCentered="1"/>
  <pageMargins left="0.75" right="0.75" top="1" bottom="1" header="0.5" footer="0.5"/>
  <pageSetup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H93"/>
  <sheetViews>
    <sheetView zoomScaleNormal="100" zoomScaleSheetLayoutView="100" workbookViewId="0">
      <selection sqref="A1:XFD1048576"/>
    </sheetView>
  </sheetViews>
  <sheetFormatPr defaultColWidth="9.140625" defaultRowHeight="12.75"/>
  <cols>
    <col min="1" max="1" width="31.42578125" style="444" customWidth="1"/>
    <col min="2" max="2" width="10.28515625" style="446" customWidth="1"/>
    <col min="3" max="3" width="8.85546875" style="444" bestFit="1" customWidth="1"/>
    <col min="4" max="4" width="8.42578125" style="444" customWidth="1"/>
    <col min="5" max="5" width="12.28515625" style="466" bestFit="1" customWidth="1"/>
    <col min="6" max="6" width="14.140625" style="466" bestFit="1" customWidth="1"/>
    <col min="7" max="7" width="14.5703125" style="466" customWidth="1"/>
    <col min="8" max="16384" width="9.140625" style="444"/>
  </cols>
  <sheetData>
    <row r="1" spans="1:8">
      <c r="A1" s="578" t="s">
        <v>459</v>
      </c>
      <c r="B1" s="578"/>
      <c r="C1" s="578"/>
      <c r="D1" s="578"/>
      <c r="E1" s="578"/>
      <c r="F1" s="578"/>
      <c r="G1" s="578"/>
      <c r="H1" s="578"/>
    </row>
    <row r="2" spans="1:8">
      <c r="A2" s="578" t="s">
        <v>1038</v>
      </c>
      <c r="B2" s="578"/>
      <c r="C2" s="578"/>
      <c r="D2" s="578"/>
      <c r="E2" s="578"/>
      <c r="F2" s="578"/>
      <c r="G2" s="578"/>
      <c r="H2" s="578"/>
    </row>
    <row r="3" spans="1:8">
      <c r="A3" s="578" t="str">
        <f>'Title Page'!A10</f>
        <v>FOR THE TWELVE MONTHS ENDED DECEMBER 31, 2023</v>
      </c>
      <c r="B3" s="578"/>
      <c r="C3" s="578"/>
      <c r="D3" s="578"/>
      <c r="E3" s="578"/>
      <c r="F3" s="578"/>
      <c r="G3" s="578"/>
      <c r="H3" s="578"/>
    </row>
    <row r="5" spans="1:8">
      <c r="A5" s="577" t="s">
        <v>151</v>
      </c>
      <c r="B5" s="577"/>
      <c r="C5" s="577"/>
      <c r="D5" s="577"/>
      <c r="E5" s="577"/>
      <c r="F5" s="577"/>
      <c r="G5" s="577"/>
      <c r="H5" s="577"/>
    </row>
    <row r="6" spans="1:8">
      <c r="A6" s="564" t="s">
        <v>618</v>
      </c>
      <c r="B6" s="564"/>
      <c r="C6" s="564"/>
      <c r="D6" s="564"/>
      <c r="E6" s="564"/>
      <c r="F6" s="564"/>
      <c r="G6" s="564"/>
      <c r="H6" s="564"/>
    </row>
    <row r="7" spans="1:8">
      <c r="A7" s="577" t="s">
        <v>624</v>
      </c>
      <c r="B7" s="577"/>
      <c r="C7" s="577"/>
      <c r="D7" s="577"/>
      <c r="E7" s="577"/>
      <c r="F7" s="577"/>
      <c r="G7" s="577"/>
      <c r="H7" s="577"/>
    </row>
    <row r="8" spans="1:8">
      <c r="A8" s="577" t="s">
        <v>620</v>
      </c>
      <c r="B8" s="577"/>
      <c r="C8" s="577"/>
      <c r="D8" s="577"/>
      <c r="E8" s="577"/>
      <c r="F8" s="577"/>
      <c r="G8" s="577"/>
      <c r="H8" s="577"/>
    </row>
    <row r="9" spans="1:8">
      <c r="A9" s="564"/>
      <c r="B9" s="564"/>
      <c r="C9" s="564"/>
      <c r="D9" s="564"/>
      <c r="E9" s="564"/>
      <c r="F9" s="564"/>
      <c r="G9" s="564"/>
    </row>
    <row r="10" spans="1:8">
      <c r="A10" s="546"/>
      <c r="B10" s="546"/>
      <c r="C10" s="546"/>
      <c r="D10" s="546"/>
      <c r="E10" s="464"/>
      <c r="F10" s="464"/>
      <c r="G10" s="464"/>
    </row>
    <row r="11" spans="1:8" ht="42" customHeight="1" thickBot="1">
      <c r="A11" s="179" t="s">
        <v>152</v>
      </c>
      <c r="B11" s="382" t="s">
        <v>103</v>
      </c>
      <c r="C11" s="179" t="s">
        <v>125</v>
      </c>
      <c r="D11" s="179" t="s">
        <v>126</v>
      </c>
      <c r="E11" s="384" t="s">
        <v>488</v>
      </c>
      <c r="F11" s="385" t="s">
        <v>127</v>
      </c>
      <c r="G11" s="386" t="s">
        <v>169</v>
      </c>
    </row>
    <row r="12" spans="1:8">
      <c r="A12" s="35" t="str">
        <f>'Schedule 7 Workpaper'!B12</f>
        <v>American Falls Power Plant</v>
      </c>
      <c r="B12" s="45">
        <f>'Schedule 7 Workpaper'!C12</f>
        <v>353</v>
      </c>
      <c r="C12" s="45">
        <f>'Schedule 7 Workpaper'!D12</f>
        <v>1978</v>
      </c>
      <c r="D12" s="465">
        <f>'Schedule 7 Workpaper'!G12 + 'Schedule 7 Workpaper'!J12+'Schedule 7 Workpaper'!M12+'Schedule 7 Workpaper'!P12</f>
        <v>44</v>
      </c>
      <c r="E12" s="89">
        <f>'Schedule 7 Workpaper'!E12</f>
        <v>647894.37</v>
      </c>
      <c r="F12" s="89">
        <f>'Schedule 7 Workpaper'!U12</f>
        <v>619533.44999999995</v>
      </c>
      <c r="G12" s="90">
        <f>'Schedule 7 Workpaper'!W12</f>
        <v>14124.1</v>
      </c>
    </row>
    <row r="13" spans="1:8">
      <c r="A13" s="35" t="str">
        <f>'Schedule 7 Workpaper'!B13</f>
        <v>American Falls Power Plant</v>
      </c>
      <c r="B13" s="45">
        <f>'Schedule 7 Workpaper'!C13</f>
        <v>353</v>
      </c>
      <c r="C13" s="45">
        <f>'Schedule 7 Workpaper'!D13</f>
        <v>2013</v>
      </c>
      <c r="D13" s="465">
        <f>'Schedule 7 Workpaper'!G13 + 'Schedule 7 Workpaper'!J13+'Schedule 7 Workpaper'!M13+'Schedule 7 Workpaper'!P13</f>
        <v>9.5799999999999272</v>
      </c>
      <c r="E13" s="89">
        <f>'Schedule 7 Workpaper'!E13</f>
        <v>10928.33</v>
      </c>
      <c r="F13" s="89">
        <f>'Schedule 7 Workpaper'!U13</f>
        <v>2500.69</v>
      </c>
      <c r="G13" s="90">
        <f>'Schedule 7 Workpaper'!W13</f>
        <v>238.24</v>
      </c>
    </row>
    <row r="14" spans="1:8">
      <c r="A14" s="35" t="str">
        <f>'Schedule 7 Workpaper'!B14</f>
        <v xml:space="preserve">Brownlee Power Plant </v>
      </c>
      <c r="B14" s="45">
        <f>'Schedule 7 Workpaper'!C14</f>
        <v>353</v>
      </c>
      <c r="C14" s="45">
        <f>'Schedule 7 Workpaper'!D14</f>
        <v>1959</v>
      </c>
      <c r="D14" s="465">
        <f>'Schedule 7 Workpaper'!G14 + 'Schedule 7 Workpaper'!J14+'Schedule 7 Workpaper'!M14+'Schedule 7 Workpaper'!P14</f>
        <v>63</v>
      </c>
      <c r="E14" s="89">
        <f>'Schedule 7 Workpaper'!E14</f>
        <v>747897.47</v>
      </c>
      <c r="F14" s="89">
        <f>'Schedule 7 Workpaper'!U14</f>
        <v>1016412.1100000001</v>
      </c>
      <c r="G14" s="90">
        <f>'Schedule 7 Workpaper'!W14</f>
        <v>16304.16</v>
      </c>
    </row>
    <row r="15" spans="1:8">
      <c r="A15" s="35" t="str">
        <f>'Schedule 7 Workpaper'!B15</f>
        <v xml:space="preserve">Brownlee Power Plant </v>
      </c>
      <c r="B15" s="45">
        <f>'Schedule 7 Workpaper'!C15</f>
        <v>353</v>
      </c>
      <c r="C15" s="45">
        <f>'Schedule 7 Workpaper'!D15</f>
        <v>1980</v>
      </c>
      <c r="D15" s="465">
        <f>'Schedule 7 Workpaper'!G15 + 'Schedule 7 Workpaper'!J15+'Schedule 7 Workpaper'!M15+'Schedule 7 Workpaper'!P15</f>
        <v>42</v>
      </c>
      <c r="E15" s="89">
        <f>'Schedule 7 Workpaper'!E15</f>
        <v>1541721.69</v>
      </c>
      <c r="F15" s="89">
        <f>'Schedule 7 Workpaper'!U15</f>
        <v>1408865.3700000003</v>
      </c>
      <c r="G15" s="90">
        <f>'Schedule 7 Workpaper'!W15</f>
        <v>33609.53</v>
      </c>
    </row>
    <row r="16" spans="1:8">
      <c r="A16" s="35" t="str">
        <f>'Schedule 7 Workpaper'!B16</f>
        <v xml:space="preserve">Brownlee Power Plant </v>
      </c>
      <c r="B16" s="45">
        <f>'Schedule 7 Workpaper'!C16</f>
        <v>353</v>
      </c>
      <c r="C16" s="45">
        <f>'Schedule 7 Workpaper'!D16</f>
        <v>2000</v>
      </c>
      <c r="D16" s="465">
        <f>'Schedule 7 Workpaper'!G16 + 'Schedule 7 Workpaper'!J16+'Schedule 7 Workpaper'!M16+'Schedule 7 Workpaper'!P16</f>
        <v>22</v>
      </c>
      <c r="E16" s="89">
        <f>'Schedule 7 Workpaper'!E16</f>
        <v>11284.55</v>
      </c>
      <c r="F16" s="89">
        <f>'Schedule 7 Workpaper'!U16</f>
        <v>5527.46</v>
      </c>
      <c r="G16" s="90">
        <f>'Schedule 7 Workpaper'!W16</f>
        <v>246</v>
      </c>
    </row>
    <row r="17" spans="1:7">
      <c r="A17" s="35" t="str">
        <f>'Schedule 7 Workpaper'!B17</f>
        <v xml:space="preserve">Brownlee Power Plant </v>
      </c>
      <c r="B17" s="45">
        <f>'Schedule 7 Workpaper'!C17</f>
        <v>353</v>
      </c>
      <c r="C17" s="45">
        <f>'Schedule 7 Workpaper'!D17</f>
        <v>2003</v>
      </c>
      <c r="D17" s="465">
        <f>'Schedule 7 Workpaper'!G17 + 'Schedule 7 Workpaper'!J17+'Schedule 7 Workpaper'!M17+'Schedule 7 Workpaper'!P17</f>
        <v>19</v>
      </c>
      <c r="E17" s="89">
        <f>'Schedule 7 Workpaper'!E17</f>
        <v>15167.15</v>
      </c>
      <c r="F17" s="89">
        <f>'Schedule 7 Workpaper'!U17</f>
        <v>6464.63</v>
      </c>
      <c r="G17" s="90">
        <f>'Schedule 7 Workpaper'!W17</f>
        <v>330.64</v>
      </c>
    </row>
    <row r="18" spans="1:7">
      <c r="A18" s="35" t="str">
        <f>'Schedule 7 Workpaper'!B18</f>
        <v xml:space="preserve">Brownlee Power Plant </v>
      </c>
      <c r="B18" s="45">
        <f>'Schedule 7 Workpaper'!C18</f>
        <v>353</v>
      </c>
      <c r="C18" s="45">
        <f>'Schedule 7 Workpaper'!D18</f>
        <v>2012</v>
      </c>
      <c r="D18" s="465">
        <f>'Schedule 7 Workpaper'!G18 + 'Schedule 7 Workpaper'!J18+'Schedule 7 Workpaper'!M18+'Schedule 7 Workpaper'!P18</f>
        <v>10</v>
      </c>
      <c r="E18" s="89">
        <f>'Schedule 7 Workpaper'!E18</f>
        <v>1855783.59</v>
      </c>
      <c r="F18" s="89">
        <f>'Schedule 7 Workpaper'!U18</f>
        <v>440707.77</v>
      </c>
      <c r="G18" s="90">
        <f>'Schedule 7 Workpaper'!W18</f>
        <v>40456.080000000002</v>
      </c>
    </row>
    <row r="19" spans="1:7">
      <c r="A19" s="35" t="str">
        <f>'Schedule 7 Workpaper'!B19</f>
        <v xml:space="preserve">Brownlee Power Plant </v>
      </c>
      <c r="B19" s="45">
        <f>'Schedule 7 Workpaper'!C19</f>
        <v>353</v>
      </c>
      <c r="C19" s="45">
        <f>'Schedule 7 Workpaper'!D19</f>
        <v>2014</v>
      </c>
      <c r="D19" s="465">
        <f>'Schedule 7 Workpaper'!G19 + 'Schedule 7 Workpaper'!J19+'Schedule 7 Workpaper'!M19+'Schedule 7 Workpaper'!P19</f>
        <v>8.5799999999999272</v>
      </c>
      <c r="E19" s="89">
        <f>'Schedule 7 Workpaper'!E19</f>
        <v>205853.64</v>
      </c>
      <c r="F19" s="89">
        <f>'Schedule 7 Workpaper'!U19</f>
        <v>43193.45</v>
      </c>
      <c r="G19" s="90">
        <f>'Schedule 7 Workpaper'!W19</f>
        <v>4487.6099999999997</v>
      </c>
    </row>
    <row r="20" spans="1:7">
      <c r="A20" s="35" t="str">
        <f>'Schedule 7 Workpaper'!B20</f>
        <v xml:space="preserve">Brownlee Power Plant </v>
      </c>
      <c r="B20" s="45">
        <f>'Schedule 7 Workpaper'!C20</f>
        <v>353</v>
      </c>
      <c r="C20" s="45">
        <f>'Schedule 7 Workpaper'!D20</f>
        <v>2021</v>
      </c>
      <c r="D20" s="465">
        <f>'Schedule 7 Workpaper'!G20 + 'Schedule 7 Workpaper'!J20+'Schedule 7 Workpaper'!M20+'Schedule 7 Workpaper'!P20</f>
        <v>1</v>
      </c>
      <c r="E20" s="89">
        <f>'Schedule 7 Workpaper'!E20</f>
        <v>3478647.73</v>
      </c>
      <c r="F20" s="89">
        <f>'Schedule 7 Workpaper'!U20</f>
        <v>220198.40000000002</v>
      </c>
      <c r="G20" s="90">
        <f>'Schedule 7 Workpaper'!W20</f>
        <v>75834.52</v>
      </c>
    </row>
    <row r="21" spans="1:7">
      <c r="A21" s="35" t="str">
        <f>'Schedule 7 Workpaper'!B21</f>
        <v xml:space="preserve">Brownlee Power Plant </v>
      </c>
      <c r="B21" s="45">
        <f>'Schedule 7 Workpaper'!C21</f>
        <v>353</v>
      </c>
      <c r="C21" s="45">
        <f>'Schedule 7 Workpaper'!D21</f>
        <v>2022</v>
      </c>
      <c r="D21" s="465">
        <f>'Schedule 7 Workpaper'!G21 + 'Schedule 7 Workpaper'!J21+'Schedule 7 Workpaper'!M21+'Schedule 7 Workpaper'!P21</f>
        <v>0</v>
      </c>
      <c r="E21" s="89">
        <f>'Schedule 7 Workpaper'!E21</f>
        <v>2508744.92</v>
      </c>
      <c r="F21" s="89">
        <f>'Schedule 7 Workpaper'!U21</f>
        <v>109381.28</v>
      </c>
      <c r="G21" s="90">
        <f>'Schedule 7 Workpaper'!W21</f>
        <v>54690.64</v>
      </c>
    </row>
    <row r="22" spans="1:7">
      <c r="A22" s="35" t="str">
        <f>'Schedule 7 Workpaper'!B22</f>
        <v xml:space="preserve">Brownlee Power Plant </v>
      </c>
      <c r="B22" s="45">
        <f>'Schedule 7 Workpaper'!C22</f>
        <v>353</v>
      </c>
      <c r="C22" s="45">
        <f>'Schedule 7 Workpaper'!D22</f>
        <v>2023</v>
      </c>
      <c r="D22" s="465">
        <f>'Schedule 7 Workpaper'!G22 + 'Schedule 7 Workpaper'!J22+'Schedule 7 Workpaper'!M22+'Schedule 7 Workpaper'!P22</f>
        <v>0</v>
      </c>
      <c r="E22" s="89">
        <f>'Schedule 7 Workpaper'!E22</f>
        <v>3031784.51</v>
      </c>
      <c r="F22" s="89">
        <f>'Schedule 7 Workpaper'!U22</f>
        <v>66092.899999999994</v>
      </c>
      <c r="G22" s="90">
        <f>'Schedule 7 Workpaper'!W22</f>
        <v>66092.899999999994</v>
      </c>
    </row>
    <row r="23" spans="1:7">
      <c r="A23" s="35" t="str">
        <f>'Schedule 7 Workpaper'!B23</f>
        <v>Bliss Power Plant Gooding</v>
      </c>
      <c r="B23" s="45">
        <f>'Schedule 7 Workpaper'!C23</f>
        <v>353</v>
      </c>
      <c r="C23" s="45">
        <f>'Schedule 7 Workpaper'!D23</f>
        <v>1950</v>
      </c>
      <c r="D23" s="465">
        <f>'Schedule 7 Workpaper'!G23 + 'Schedule 7 Workpaper'!J23+'Schedule 7 Workpaper'!M23+'Schedule 7 Workpaper'!P23</f>
        <v>72</v>
      </c>
      <c r="E23" s="89">
        <f>'Schedule 7 Workpaper'!E23</f>
        <v>316403.89</v>
      </c>
      <c r="F23" s="89">
        <f>'Schedule 7 Workpaper'!U23</f>
        <v>490370.98</v>
      </c>
      <c r="G23" s="90">
        <f>'Schedule 7 Workpaper'!W23</f>
        <v>6897.6</v>
      </c>
    </row>
    <row r="24" spans="1:7">
      <c r="A24" s="35" t="str">
        <f>'Schedule 7 Workpaper'!B24</f>
        <v>Bliss Power Plant Gooding</v>
      </c>
      <c r="B24" s="45">
        <f>'Schedule 7 Workpaper'!C24</f>
        <v>353</v>
      </c>
      <c r="C24" s="45">
        <f>'Schedule 7 Workpaper'!D24</f>
        <v>1964</v>
      </c>
      <c r="D24" s="465">
        <f>'Schedule 7 Workpaper'!G24 + 'Schedule 7 Workpaper'!J24+'Schedule 7 Workpaper'!M24+'Schedule 7 Workpaper'!P24</f>
        <v>58</v>
      </c>
      <c r="E24" s="89">
        <f>'Schedule 7 Workpaper'!E24</f>
        <v>1416.21</v>
      </c>
      <c r="F24" s="89">
        <f>'Schedule 7 Workpaper'!U24</f>
        <v>1774.55</v>
      </c>
      <c r="G24" s="90">
        <f>'Schedule 7 Workpaper'!W24</f>
        <v>30.87</v>
      </c>
    </row>
    <row r="25" spans="1:7">
      <c r="A25" s="35" t="str">
        <f>'Schedule 7 Workpaper'!B25</f>
        <v>Cascade Power Plant</v>
      </c>
      <c r="B25" s="45">
        <f>'Schedule 7 Workpaper'!C25</f>
        <v>353</v>
      </c>
      <c r="C25" s="45">
        <f>'Schedule 7 Workpaper'!D25</f>
        <v>1983</v>
      </c>
      <c r="D25" s="465">
        <f>'Schedule 7 Workpaper'!G25 + 'Schedule 7 Workpaper'!J25+'Schedule 7 Workpaper'!M25+'Schedule 7 Workpaper'!P25</f>
        <v>39</v>
      </c>
      <c r="E25" s="89">
        <f>'Schedule 7 Workpaper'!E25</f>
        <v>257772.45</v>
      </c>
      <c r="F25" s="89">
        <f>'Schedule 7 Workpaper'!U25</f>
        <v>219164.84</v>
      </c>
      <c r="G25" s="90">
        <f>'Schedule 7 Workpaper'!W25</f>
        <v>5619.44</v>
      </c>
    </row>
    <row r="26" spans="1:7">
      <c r="A26" s="35" t="str">
        <f>'Schedule 7 Workpaper'!B26</f>
        <v>Clear Lake Power Plant</v>
      </c>
      <c r="B26" s="45">
        <f>'Schedule 7 Workpaper'!C26</f>
        <v>353</v>
      </c>
      <c r="C26" s="45">
        <f>'Schedule 7 Workpaper'!D26</f>
        <v>1965</v>
      </c>
      <c r="D26" s="465">
        <f>'Schedule 7 Workpaper'!G26 + 'Schedule 7 Workpaper'!J26+'Schedule 7 Workpaper'!M26+'Schedule 7 Workpaper'!P26</f>
        <v>57</v>
      </c>
      <c r="E26" s="89">
        <f>'Schedule 7 Workpaper'!E26</f>
        <v>19807.669999999998</v>
      </c>
      <c r="F26" s="89">
        <f>'Schedule 7 Workpaper'!U26</f>
        <v>24399.61</v>
      </c>
      <c r="G26" s="90">
        <f>'Schedule 7 Workpaper'!W26</f>
        <v>431.81</v>
      </c>
    </row>
    <row r="27" spans="1:7">
      <c r="A27" s="35" t="str">
        <f>'Schedule 7 Workpaper'!B27</f>
        <v>Danskin Power Plant</v>
      </c>
      <c r="B27" s="45">
        <f>'Schedule 7 Workpaper'!C27</f>
        <v>353</v>
      </c>
      <c r="C27" s="45">
        <f>'Schedule 7 Workpaper'!D27</f>
        <v>2001</v>
      </c>
      <c r="D27" s="465">
        <f>'Schedule 7 Workpaper'!G27 + 'Schedule 7 Workpaper'!J27+'Schedule 7 Workpaper'!M27+'Schedule 7 Workpaper'!P27</f>
        <v>21</v>
      </c>
      <c r="E27" s="89">
        <f>'Schedule 7 Workpaper'!E27</f>
        <v>259219.44</v>
      </c>
      <c r="F27" s="89">
        <f>'Schedule 7 Workpaper'!U27</f>
        <v>121476.97</v>
      </c>
      <c r="G27" s="90">
        <f>'Schedule 7 Workpaper'!W27</f>
        <v>5650.98</v>
      </c>
    </row>
    <row r="28" spans="1:7">
      <c r="A28" s="35" t="str">
        <f>'Schedule 7 Workpaper'!B28</f>
        <v>Danskin Power Plant</v>
      </c>
      <c r="B28" s="45">
        <f>'Schedule 7 Workpaper'!C28</f>
        <v>353</v>
      </c>
      <c r="C28" s="45">
        <f>'Schedule 7 Workpaper'!D28</f>
        <v>2008</v>
      </c>
      <c r="D28" s="465">
        <f>'Schedule 7 Workpaper'!G28 + 'Schedule 7 Workpaper'!J28+'Schedule 7 Workpaper'!M28+'Schedule 7 Workpaper'!P28</f>
        <v>14</v>
      </c>
      <c r="E28" s="89">
        <f>'Schedule 7 Workpaper'!E28</f>
        <v>7041.17</v>
      </c>
      <c r="F28" s="89">
        <f>'Schedule 7 Workpaper'!U28</f>
        <v>2254.77</v>
      </c>
      <c r="G28" s="90">
        <f>'Schedule 7 Workpaper'!W28</f>
        <v>153.5</v>
      </c>
    </row>
    <row r="29" spans="1:7">
      <c r="A29" s="35" t="str">
        <f>'Schedule 7 Workpaper'!B29</f>
        <v>Danskin Power Plant</v>
      </c>
      <c r="B29" s="45">
        <f>'Schedule 7 Workpaper'!C29</f>
        <v>353</v>
      </c>
      <c r="C29" s="45">
        <f>'Schedule 7 Workpaper'!D29</f>
        <v>2009</v>
      </c>
      <c r="D29" s="465">
        <f>'Schedule 7 Workpaper'!G29 + 'Schedule 7 Workpaper'!J29+'Schedule 7 Workpaper'!M29+'Schedule 7 Workpaper'!P29</f>
        <v>13</v>
      </c>
      <c r="E29" s="89">
        <f>'Schedule 7 Workpaper'!E29</f>
        <v>3800179.28</v>
      </c>
      <c r="F29" s="89">
        <f>'Schedule 7 Workpaper'!U29</f>
        <v>1138746.52</v>
      </c>
      <c r="G29" s="90">
        <f>'Schedule 7 Workpaper'!W29</f>
        <v>82843.91</v>
      </c>
    </row>
    <row r="30" spans="1:7">
      <c r="A30" s="35" t="str">
        <f>'Schedule 7 Workpaper'!B30</f>
        <v xml:space="preserve">Hells Canyon Power Plant </v>
      </c>
      <c r="B30" s="45">
        <f>'Schedule 7 Workpaper'!C30</f>
        <v>353</v>
      </c>
      <c r="C30" s="45">
        <f>'Schedule 7 Workpaper'!D30</f>
        <v>2015</v>
      </c>
      <c r="D30" s="465">
        <f>'Schedule 7 Workpaper'!G30 + 'Schedule 7 Workpaper'!J30+'Schedule 7 Workpaper'!M30+'Schedule 7 Workpaper'!P30</f>
        <v>7.5799999999999272</v>
      </c>
      <c r="E30" s="89">
        <f>'Schedule 7 Workpaper'!E30</f>
        <v>3632748.75</v>
      </c>
      <c r="F30" s="89">
        <f>'Schedule 7 Workpaper'!U30</f>
        <v>693222.92</v>
      </c>
      <c r="G30" s="90">
        <f>'Schedule 7 Workpaper'!W30</f>
        <v>79193.919999999998</v>
      </c>
    </row>
    <row r="31" spans="1:7">
      <c r="A31" s="35" t="str">
        <f>'Schedule 7 Workpaper'!B31</f>
        <v xml:space="preserve">Hells Canyon Power Plant </v>
      </c>
      <c r="B31" s="45">
        <f>'Schedule 7 Workpaper'!C31</f>
        <v>353</v>
      </c>
      <c r="C31" s="45">
        <f>'Schedule 7 Workpaper'!D31</f>
        <v>2016</v>
      </c>
      <c r="D31" s="465">
        <f>'Schedule 7 Workpaper'!G31 + 'Schedule 7 Workpaper'!J31+'Schedule 7 Workpaper'!M31+'Schedule 7 Workpaper'!P31</f>
        <v>6.5799999999999272</v>
      </c>
      <c r="E31" s="89">
        <f>'Schedule 7 Workpaper'!E31</f>
        <v>1846817.64</v>
      </c>
      <c r="F31" s="89">
        <f>'Schedule 7 Workpaper'!U31</f>
        <v>317331.29000000004</v>
      </c>
      <c r="G31" s="90">
        <f>'Schedule 7 Workpaper'!W31</f>
        <v>40260.620000000003</v>
      </c>
    </row>
    <row r="32" spans="1:7">
      <c r="A32" s="35" t="str">
        <f>'Schedule 7 Workpaper'!B32</f>
        <v xml:space="preserve">Hells Canyon Power Plant </v>
      </c>
      <c r="B32" s="45">
        <f>'Schedule 7 Workpaper'!C32</f>
        <v>353</v>
      </c>
      <c r="C32" s="45">
        <f>'Schedule 7 Workpaper'!D32</f>
        <v>2019</v>
      </c>
      <c r="D32" s="465">
        <f>'Schedule 7 Workpaper'!G32 + 'Schedule 7 Workpaper'!J32+'Schedule 7 Workpaper'!M32+'Schedule 7 Workpaper'!P32</f>
        <v>3</v>
      </c>
      <c r="E32" s="89">
        <f>'Schedule 7 Workpaper'!E32</f>
        <v>14744.7</v>
      </c>
      <c r="F32" s="89">
        <f>'Schedule 7 Workpaper'!U32</f>
        <v>1514.28</v>
      </c>
      <c r="G32" s="90">
        <f>'Schedule 7 Workpaper'!W32</f>
        <v>321.43</v>
      </c>
    </row>
    <row r="33" spans="1:7">
      <c r="A33" s="35" t="str">
        <f>'Schedule 7 Workpaper'!B33</f>
        <v xml:space="preserve">Hells Canyon Power Plant </v>
      </c>
      <c r="B33" s="45">
        <f>'Schedule 7 Workpaper'!C33</f>
        <v>353</v>
      </c>
      <c r="C33" s="45">
        <f>'Schedule 7 Workpaper'!D33</f>
        <v>2020</v>
      </c>
      <c r="D33" s="465">
        <f>'Schedule 7 Workpaper'!G33 + 'Schedule 7 Workpaper'!J33+'Schedule 7 Workpaper'!M33+'Schedule 7 Workpaper'!P33</f>
        <v>2</v>
      </c>
      <c r="E33" s="89">
        <f>'Schedule 7 Workpaper'!E33</f>
        <v>31468.76</v>
      </c>
      <c r="F33" s="89">
        <f>'Schedule 7 Workpaper'!U33</f>
        <v>2611.91</v>
      </c>
      <c r="G33" s="90">
        <f>'Schedule 7 Workpaper'!W33</f>
        <v>686.02</v>
      </c>
    </row>
    <row r="34" spans="1:7">
      <c r="A34" s="35" t="str">
        <f>'Schedule 7 Workpaper'!B34</f>
        <v>Lower Malad Power Plant</v>
      </c>
      <c r="B34" s="45">
        <f>'Schedule 7 Workpaper'!C34</f>
        <v>353</v>
      </c>
      <c r="C34" s="45">
        <f>'Schedule 7 Workpaper'!D34</f>
        <v>1948</v>
      </c>
      <c r="D34" s="465">
        <f>'Schedule 7 Workpaper'!G34 + 'Schedule 7 Workpaper'!J34+'Schedule 7 Workpaper'!M34+'Schedule 7 Workpaper'!P34</f>
        <v>74</v>
      </c>
      <c r="E34" s="89">
        <f>'Schedule 7 Workpaper'!E34</f>
        <v>81118.75</v>
      </c>
      <c r="F34" s="89">
        <f>'Schedule 7 Workpaper'!U34</f>
        <v>129159.39</v>
      </c>
      <c r="G34" s="90">
        <f>'Schedule 7 Workpaper'!W34</f>
        <v>1768.39</v>
      </c>
    </row>
    <row r="35" spans="1:7">
      <c r="A35" s="35" t="str">
        <f>'Schedule 7 Workpaper'!B35</f>
        <v>Lower Malad Power Plant</v>
      </c>
      <c r="B35" s="45">
        <f>'Schedule 7 Workpaper'!C35</f>
        <v>353</v>
      </c>
      <c r="C35" s="45">
        <f>'Schedule 7 Workpaper'!D35</f>
        <v>1958</v>
      </c>
      <c r="D35" s="465">
        <f>'Schedule 7 Workpaper'!G35 + 'Schedule 7 Workpaper'!J35+'Schedule 7 Workpaper'!M35+'Schedule 7 Workpaper'!P35</f>
        <v>64</v>
      </c>
      <c r="E35" s="89">
        <f>'Schedule 7 Workpaper'!E35</f>
        <v>1551.05</v>
      </c>
      <c r="F35" s="89">
        <f>'Schedule 7 Workpaper'!U35</f>
        <v>2140.8000000000002</v>
      </c>
      <c r="G35" s="90">
        <f>'Schedule 7 Workpaper'!W35</f>
        <v>33.81</v>
      </c>
    </row>
    <row r="36" spans="1:7">
      <c r="A36" s="35" t="str">
        <f>'Schedule 7 Workpaper'!B36</f>
        <v>Lower Salmon Power Plant Goodi</v>
      </c>
      <c r="B36" s="45">
        <f>'Schedule 7 Workpaper'!C36</f>
        <v>353</v>
      </c>
      <c r="C36" s="45">
        <f>'Schedule 7 Workpaper'!D36</f>
        <v>1949</v>
      </c>
      <c r="D36" s="465">
        <f>'Schedule 7 Workpaper'!G36 + 'Schedule 7 Workpaper'!J36+'Schedule 7 Workpaper'!M36+'Schedule 7 Workpaper'!P36</f>
        <v>73</v>
      </c>
      <c r="E36" s="89">
        <f>'Schedule 7 Workpaper'!E36</f>
        <v>303512.28999999998</v>
      </c>
      <c r="F36" s="89">
        <f>'Schedule 7 Workpaper'!U36</f>
        <v>476825.70999999996</v>
      </c>
      <c r="G36" s="90">
        <f>'Schedule 7 Workpaper'!W36</f>
        <v>6616.57</v>
      </c>
    </row>
    <row r="37" spans="1:7">
      <c r="A37" s="35" t="str">
        <f>'Schedule 7 Workpaper'!B37</f>
        <v>Milner Power Plant</v>
      </c>
      <c r="B37" s="45">
        <f>'Schedule 7 Workpaper'!C37</f>
        <v>353</v>
      </c>
      <c r="C37" s="45">
        <f>'Schedule 7 Workpaper'!D37</f>
        <v>1992</v>
      </c>
      <c r="D37" s="465">
        <f>'Schedule 7 Workpaper'!G37 + 'Schedule 7 Workpaper'!J37+'Schedule 7 Workpaper'!M37+'Schedule 7 Workpaper'!P37</f>
        <v>30</v>
      </c>
      <c r="E37" s="89">
        <f>'Schedule 7 Workpaper'!E37</f>
        <v>664293.88</v>
      </c>
      <c r="F37" s="89">
        <f>'Schedule 7 Workpaper'!U37</f>
        <v>438052.65</v>
      </c>
      <c r="G37" s="90">
        <f>'Schedule 7 Workpaper'!W37</f>
        <v>14481.61</v>
      </c>
    </row>
    <row r="38" spans="1:7">
      <c r="A38" s="35" t="str">
        <f>'Schedule 7 Workpaper'!B38</f>
        <v>Oxbow Power Plant Baker</v>
      </c>
      <c r="B38" s="45">
        <f>'Schedule 7 Workpaper'!C38</f>
        <v>353</v>
      </c>
      <c r="C38" s="45">
        <f>'Schedule 7 Workpaper'!D38</f>
        <v>1949</v>
      </c>
      <c r="D38" s="465">
        <f>'Schedule 7 Workpaper'!G38 + 'Schedule 7 Workpaper'!J38+'Schedule 7 Workpaper'!M38+'Schedule 7 Workpaper'!P38</f>
        <v>73</v>
      </c>
      <c r="E38" s="89">
        <f>'Schedule 7 Workpaper'!E38</f>
        <v>100827.22</v>
      </c>
      <c r="F38" s="89">
        <f>'Schedule 7 Workpaper'!U38</f>
        <v>158402.20000000001</v>
      </c>
      <c r="G38" s="90">
        <f>'Schedule 7 Workpaper'!W38</f>
        <v>2198.0300000000002</v>
      </c>
    </row>
    <row r="39" spans="1:7">
      <c r="A39" s="35" t="str">
        <f>'Schedule 7 Workpaper'!B39</f>
        <v>Oxbow Power Plant Baker</v>
      </c>
      <c r="B39" s="45">
        <f>'Schedule 7 Workpaper'!C39</f>
        <v>353</v>
      </c>
      <c r="C39" s="45">
        <f>'Schedule 7 Workpaper'!D39</f>
        <v>1951</v>
      </c>
      <c r="D39" s="465">
        <f>'Schedule 7 Workpaper'!G39 + 'Schedule 7 Workpaper'!J39+'Schedule 7 Workpaper'!M39+'Schedule 7 Workpaper'!P39</f>
        <v>71</v>
      </c>
      <c r="E39" s="89">
        <f>'Schedule 7 Workpaper'!E39</f>
        <v>43216.23</v>
      </c>
      <c r="F39" s="89">
        <f>'Schedule 7 Workpaper'!U39</f>
        <v>66061.460000000006</v>
      </c>
      <c r="G39" s="90">
        <f>'Schedule 7 Workpaper'!W39</f>
        <v>942.11</v>
      </c>
    </row>
    <row r="40" spans="1:7">
      <c r="A40" s="35" t="str">
        <f>'Schedule 7 Workpaper'!B40</f>
        <v>Oxbow Power Plant Baker</v>
      </c>
      <c r="B40" s="45">
        <f>'Schedule 7 Workpaper'!C40</f>
        <v>353</v>
      </c>
      <c r="C40" s="45">
        <f>'Schedule 7 Workpaper'!D40</f>
        <v>1957</v>
      </c>
      <c r="D40" s="465">
        <f>'Schedule 7 Workpaper'!G40 + 'Schedule 7 Workpaper'!J40+'Schedule 7 Workpaper'!M40+'Schedule 7 Workpaper'!P40</f>
        <v>65</v>
      </c>
      <c r="E40" s="89">
        <f>'Schedule 7 Workpaper'!E40</f>
        <v>208866.2</v>
      </c>
      <c r="F40" s="89">
        <f>'Schedule 7 Workpaper'!U40</f>
        <v>292710.51999999996</v>
      </c>
      <c r="G40" s="90">
        <f>'Schedule 7 Workpaper'!W40</f>
        <v>4553.28</v>
      </c>
    </row>
    <row r="41" spans="1:7">
      <c r="A41" s="35" t="str">
        <f>'Schedule 7 Workpaper'!B41</f>
        <v>Oxbow Power Plant Baker</v>
      </c>
      <c r="B41" s="45">
        <f>'Schedule 7 Workpaper'!C41</f>
        <v>353</v>
      </c>
      <c r="C41" s="45">
        <f>'Schedule 7 Workpaper'!D41</f>
        <v>1979</v>
      </c>
      <c r="D41" s="465">
        <f>'Schedule 7 Workpaper'!G41 + 'Schedule 7 Workpaper'!J41+'Schedule 7 Workpaper'!M41+'Schedule 7 Workpaper'!P41</f>
        <v>43</v>
      </c>
      <c r="E41" s="89">
        <f>'Schedule 7 Workpaper'!E41</f>
        <v>2963.82</v>
      </c>
      <c r="F41" s="89">
        <f>'Schedule 7 Workpaper'!U41</f>
        <v>2771.2399999999993</v>
      </c>
      <c r="G41" s="90">
        <f>'Schedule 7 Workpaper'!W41</f>
        <v>64.61</v>
      </c>
    </row>
    <row r="42" spans="1:7">
      <c r="A42" s="35" t="str">
        <f>'Schedule 7 Workpaper'!B42</f>
        <v>Oxbow Power Plant Baker</v>
      </c>
      <c r="B42" s="45">
        <f>'Schedule 7 Workpaper'!C42</f>
        <v>353</v>
      </c>
      <c r="C42" s="45">
        <f>'Schedule 7 Workpaper'!D42</f>
        <v>1980</v>
      </c>
      <c r="D42" s="465">
        <f>'Schedule 7 Workpaper'!G42 + 'Schedule 7 Workpaper'!J42+'Schedule 7 Workpaper'!M42+'Schedule 7 Workpaper'!P42</f>
        <v>42</v>
      </c>
      <c r="E42" s="89">
        <f>'Schedule 7 Workpaper'!E42</f>
        <v>6099.17</v>
      </c>
      <c r="F42" s="89">
        <f>'Schedule 7 Workpaper'!U42</f>
        <v>5573.5700000000006</v>
      </c>
      <c r="G42" s="90">
        <f>'Schedule 7 Workpaper'!W42</f>
        <v>132.96</v>
      </c>
    </row>
    <row r="43" spans="1:7">
      <c r="A43" s="35" t="str">
        <f>'Schedule 7 Workpaper'!B43</f>
        <v>Oxbow Power Plant Baker</v>
      </c>
      <c r="B43" s="45">
        <f>'Schedule 7 Workpaper'!C43</f>
        <v>353</v>
      </c>
      <c r="C43" s="45">
        <f>'Schedule 7 Workpaper'!D43</f>
        <v>2000</v>
      </c>
      <c r="D43" s="465">
        <f>'Schedule 7 Workpaper'!G43 + 'Schedule 7 Workpaper'!J43+'Schedule 7 Workpaper'!M43+'Schedule 7 Workpaper'!P43</f>
        <v>22</v>
      </c>
      <c r="E43" s="89">
        <f>'Schedule 7 Workpaper'!E43</f>
        <v>94926.75</v>
      </c>
      <c r="F43" s="89">
        <f>'Schedule 7 Workpaper'!U43</f>
        <v>46497.599999999999</v>
      </c>
      <c r="G43" s="90">
        <f>'Schedule 7 Workpaper'!W43</f>
        <v>2069.4</v>
      </c>
    </row>
    <row r="44" spans="1:7">
      <c r="A44" s="35" t="str">
        <f>'Schedule 7 Workpaper'!B44</f>
        <v>Oxbow Power Plant Baker</v>
      </c>
      <c r="B44" s="45">
        <f>'Schedule 7 Workpaper'!C44</f>
        <v>353</v>
      </c>
      <c r="C44" s="45">
        <f>'Schedule 7 Workpaper'!D44</f>
        <v>2014</v>
      </c>
      <c r="D44" s="465">
        <f>'Schedule 7 Workpaper'!G44 + 'Schedule 7 Workpaper'!J44+'Schedule 7 Workpaper'!M44+'Schedule 7 Workpaper'!P44</f>
        <v>8.5799999999999272</v>
      </c>
      <c r="E44" s="89">
        <f>'Schedule 7 Workpaper'!E44</f>
        <v>13655.37</v>
      </c>
      <c r="F44" s="89">
        <f>'Schedule 7 Workpaper'!U44</f>
        <v>2865.25</v>
      </c>
      <c r="G44" s="90">
        <f>'Schedule 7 Workpaper'!W44</f>
        <v>297.69</v>
      </c>
    </row>
    <row r="45" spans="1:7">
      <c r="A45" s="35" t="str">
        <f>'Schedule 7 Workpaper'!B45</f>
        <v>Oxbow Power Plant Baker</v>
      </c>
      <c r="B45" s="45">
        <f>'Schedule 7 Workpaper'!C45</f>
        <v>353</v>
      </c>
      <c r="C45" s="45">
        <f>'Schedule 7 Workpaper'!D45</f>
        <v>2017</v>
      </c>
      <c r="D45" s="465">
        <f>'Schedule 7 Workpaper'!G45 + 'Schedule 7 Workpaper'!J45+'Schedule 7 Workpaper'!M45+'Schedule 7 Workpaper'!P45</f>
        <v>5.5799999999999272</v>
      </c>
      <c r="E45" s="89">
        <f>'Schedule 7 Workpaper'!E45</f>
        <v>1815285.64</v>
      </c>
      <c r="F45" s="89">
        <f>'Schedule 7 Workpaper'!U45</f>
        <v>277422.83999999997</v>
      </c>
      <c r="G45" s="90">
        <f>'Schedule 7 Workpaper'!W45</f>
        <v>39573.230000000003</v>
      </c>
    </row>
    <row r="46" spans="1:7">
      <c r="A46" s="35" t="str">
        <f>'Schedule 7 Workpaper'!B46</f>
        <v>Oxbow Power Plant Baker</v>
      </c>
      <c r="B46" s="45">
        <f>'Schedule 7 Workpaper'!C46</f>
        <v>353</v>
      </c>
      <c r="C46" s="45">
        <f>'Schedule 7 Workpaper'!D46</f>
        <v>2018</v>
      </c>
      <c r="D46" s="465">
        <f>'Schedule 7 Workpaper'!G46 + 'Schedule 7 Workpaper'!J46+'Schedule 7 Workpaper'!M46+'Schedule 7 Workpaper'!P46</f>
        <v>4</v>
      </c>
      <c r="E46" s="89">
        <f>'Schedule 7 Workpaper'!E46</f>
        <v>1943448.0999999999</v>
      </c>
      <c r="F46" s="89">
        <f>'Schedule 7 Workpaper'!U46</f>
        <v>237878.05</v>
      </c>
      <c r="G46" s="90">
        <f>'Schedule 7 Workpaper'!W46</f>
        <v>42367.17</v>
      </c>
    </row>
    <row r="47" spans="1:7">
      <c r="A47" s="35" t="str">
        <f>'Schedule 7 Workpaper'!B47</f>
        <v>Shoshone Falls Power Plant Jer</v>
      </c>
      <c r="B47" s="45">
        <f>'Schedule 7 Workpaper'!C47</f>
        <v>353</v>
      </c>
      <c r="C47" s="45">
        <f>'Schedule 7 Workpaper'!D47</f>
        <v>1992</v>
      </c>
      <c r="D47" s="465">
        <f>'Schedule 7 Workpaper'!G47 + 'Schedule 7 Workpaper'!J47+'Schedule 7 Workpaper'!M47+'Schedule 7 Workpaper'!P47</f>
        <v>30</v>
      </c>
      <c r="E47" s="89">
        <f>'Schedule 7 Workpaper'!E47</f>
        <v>188487.53</v>
      </c>
      <c r="F47" s="89">
        <f>'Schedule 7 Workpaper'!U47</f>
        <v>124293.58999999998</v>
      </c>
      <c r="G47" s="90">
        <f>'Schedule 7 Workpaper'!W47</f>
        <v>4109.03</v>
      </c>
    </row>
    <row r="48" spans="1:7">
      <c r="A48" s="35" t="str">
        <f>'Schedule 7 Workpaper'!B48</f>
        <v>Shoshone Falls Power Plant Jer</v>
      </c>
      <c r="B48" s="45">
        <f>'Schedule 7 Workpaper'!C48</f>
        <v>353</v>
      </c>
      <c r="C48" s="45">
        <f>'Schedule 7 Workpaper'!D48</f>
        <v>2020</v>
      </c>
      <c r="D48" s="465">
        <f>'Schedule 7 Workpaper'!G48 + 'Schedule 7 Workpaper'!J48+'Schedule 7 Workpaper'!M48+'Schedule 7 Workpaper'!P48</f>
        <v>2</v>
      </c>
      <c r="E48" s="89">
        <f>'Schedule 7 Workpaper'!E48</f>
        <v>210174.99</v>
      </c>
      <c r="F48" s="89">
        <f>'Schedule 7 Workpaper'!U48</f>
        <v>17444.519999999997</v>
      </c>
      <c r="G48" s="90">
        <f>'Schedule 7 Workpaper'!W48</f>
        <v>4581.8100000000004</v>
      </c>
    </row>
    <row r="49" spans="1:7">
      <c r="A49" s="35" t="str">
        <f>'Schedule 7 Workpaper'!B49</f>
        <v>Strike C J Power Plant Owyhee</v>
      </c>
      <c r="B49" s="45">
        <f>'Schedule 7 Workpaper'!C49</f>
        <v>353</v>
      </c>
      <c r="C49" s="45">
        <f>'Schedule 7 Workpaper'!D49</f>
        <v>1952</v>
      </c>
      <c r="D49" s="465">
        <f>'Schedule 7 Workpaper'!G49 + 'Schedule 7 Workpaper'!J49+'Schedule 7 Workpaper'!M49+'Schedule 7 Workpaper'!P49</f>
        <v>70</v>
      </c>
      <c r="E49" s="89">
        <f>'Schedule 7 Workpaper'!E49</f>
        <v>344946.87</v>
      </c>
      <c r="F49" s="89">
        <f>'Schedule 7 Workpaper'!U49</f>
        <v>519981.88</v>
      </c>
      <c r="G49" s="90">
        <f>'Schedule 7 Workpaper'!W49</f>
        <v>7519.84</v>
      </c>
    </row>
    <row r="50" spans="1:7">
      <c r="A50" s="35" t="str">
        <f>'Schedule 7 Workpaper'!B50</f>
        <v>Strike C J Power Plant Owyhee</v>
      </c>
      <c r="B50" s="45">
        <f>'Schedule 7 Workpaper'!C50</f>
        <v>353</v>
      </c>
      <c r="C50" s="45">
        <f>'Schedule 7 Workpaper'!D50</f>
        <v>1965</v>
      </c>
      <c r="D50" s="465">
        <f>'Schedule 7 Workpaper'!G50 + 'Schedule 7 Workpaper'!J50+'Schedule 7 Workpaper'!M50+'Schedule 7 Workpaper'!P50</f>
        <v>57</v>
      </c>
      <c r="E50" s="89">
        <f>'Schedule 7 Workpaper'!E50</f>
        <v>1480.23</v>
      </c>
      <c r="F50" s="89">
        <f>'Schedule 7 Workpaper'!U50</f>
        <v>1823.3899999999999</v>
      </c>
      <c r="G50" s="90">
        <f>'Schedule 7 Workpaper'!W50</f>
        <v>32.270000000000003</v>
      </c>
    </row>
    <row r="51" spans="1:7">
      <c r="A51" s="35" t="str">
        <f>'Schedule 7 Workpaper'!B51</f>
        <v>Strike C J Power Plant Owyhee</v>
      </c>
      <c r="B51" s="45">
        <f>'Schedule 7 Workpaper'!C51</f>
        <v>353</v>
      </c>
      <c r="C51" s="45">
        <f>'Schedule 7 Workpaper'!D51</f>
        <v>1972</v>
      </c>
      <c r="D51" s="465">
        <f>'Schedule 7 Workpaper'!G51 + 'Schedule 7 Workpaper'!J51+'Schedule 7 Workpaper'!M51+'Schedule 7 Workpaper'!P51</f>
        <v>50</v>
      </c>
      <c r="E51" s="89">
        <f>'Schedule 7 Workpaper'!E51</f>
        <v>609.84</v>
      </c>
      <c r="F51" s="89">
        <f>'Schedule 7 Workpaper'!U51</f>
        <v>660.70999999999992</v>
      </c>
      <c r="G51" s="90">
        <f>'Schedule 7 Workpaper'!W51</f>
        <v>13.29</v>
      </c>
    </row>
    <row r="52" spans="1:7">
      <c r="A52" s="35" t="str">
        <f>'Schedule 7 Workpaper'!B52</f>
        <v>Strike C J Power Plant Owyhee</v>
      </c>
      <c r="B52" s="45">
        <f>'Schedule 7 Workpaper'!C52</f>
        <v>353</v>
      </c>
      <c r="C52" s="45">
        <f>'Schedule 7 Workpaper'!D52</f>
        <v>1973</v>
      </c>
      <c r="D52" s="465">
        <f>'Schedule 7 Workpaper'!G52 + 'Schedule 7 Workpaper'!J52+'Schedule 7 Workpaper'!M52+'Schedule 7 Workpaper'!P52</f>
        <v>49</v>
      </c>
      <c r="E52" s="89">
        <f>'Schedule 7 Workpaper'!E52</f>
        <v>316.68</v>
      </c>
      <c r="F52" s="89">
        <f>'Schedule 7 Workpaper'!U52</f>
        <v>336.38</v>
      </c>
      <c r="G52" s="90">
        <f>'Schedule 7 Workpaper'!W52</f>
        <v>6.9</v>
      </c>
    </row>
    <row r="53" spans="1:7">
      <c r="A53" s="35" t="str">
        <f>'Schedule 7 Workpaper'!B53</f>
        <v>Strike C J Power Plant Owyhee</v>
      </c>
      <c r="B53" s="45">
        <f>'Schedule 7 Workpaper'!C53</f>
        <v>353</v>
      </c>
      <c r="C53" s="45">
        <f>'Schedule 7 Workpaper'!D53</f>
        <v>1982</v>
      </c>
      <c r="D53" s="465">
        <f>'Schedule 7 Workpaper'!G53 + 'Schedule 7 Workpaper'!J53+'Schedule 7 Workpaper'!M53+'Schedule 7 Workpaper'!P53</f>
        <v>40</v>
      </c>
      <c r="E53" s="89">
        <f>'Schedule 7 Workpaper'!E53</f>
        <v>32437.37</v>
      </c>
      <c r="F53" s="89">
        <f>'Schedule 7 Workpaper'!U53</f>
        <v>28266.77</v>
      </c>
      <c r="G53" s="90">
        <f>'Schedule 7 Workpaper'!W53</f>
        <v>707.13</v>
      </c>
    </row>
    <row r="54" spans="1:7">
      <c r="A54" s="35" t="str">
        <f>'Schedule 7 Workpaper'!B54</f>
        <v>Swan Falls Power Plant Ada</v>
      </c>
      <c r="B54" s="45">
        <f>'Schedule 7 Workpaper'!C54</f>
        <v>353</v>
      </c>
      <c r="C54" s="45">
        <f>'Schedule 7 Workpaper'!D54</f>
        <v>1994</v>
      </c>
      <c r="D54" s="465">
        <f>'Schedule 7 Workpaper'!G54 + 'Schedule 7 Workpaper'!J54+'Schedule 7 Workpaper'!M54+'Schedule 7 Workpaper'!P54</f>
        <v>28</v>
      </c>
      <c r="E54" s="89">
        <f>'Schedule 7 Workpaper'!E54</f>
        <v>432054.7</v>
      </c>
      <c r="F54" s="89">
        <f>'Schedule 7 Workpaper'!U54</f>
        <v>266588.98000000004</v>
      </c>
      <c r="G54" s="90">
        <f>'Schedule 7 Workpaper'!W54</f>
        <v>9418.7900000000009</v>
      </c>
    </row>
    <row r="55" spans="1:7">
      <c r="A55" s="35" t="str">
        <f>'Schedule 7 Workpaper'!B55</f>
        <v>Swan Falls Power Plant Ada</v>
      </c>
      <c r="B55" s="45">
        <f>'Schedule 7 Workpaper'!C55</f>
        <v>353</v>
      </c>
      <c r="C55" s="45">
        <f>'Schedule 7 Workpaper'!D55</f>
        <v>1999</v>
      </c>
      <c r="D55" s="465">
        <f>'Schedule 7 Workpaper'!G55 + 'Schedule 7 Workpaper'!J55+'Schedule 7 Workpaper'!M55+'Schedule 7 Workpaper'!P55</f>
        <v>23</v>
      </c>
      <c r="E55" s="89">
        <f>'Schedule 7 Workpaper'!E55</f>
        <v>3.04</v>
      </c>
      <c r="F55" s="89">
        <f>'Schedule 7 Workpaper'!U55</f>
        <v>1.5499999999999998</v>
      </c>
      <c r="G55" s="90">
        <f>'Schedule 7 Workpaper'!W55</f>
        <v>7.0000000000000007E-2</v>
      </c>
    </row>
    <row r="56" spans="1:7">
      <c r="A56" s="35" t="str">
        <f>'Schedule 7 Workpaper'!B56</f>
        <v>Swan Falls Power Plant Ada</v>
      </c>
      <c r="B56" s="45">
        <f>'Schedule 7 Workpaper'!C56</f>
        <v>353</v>
      </c>
      <c r="C56" s="45">
        <f>'Schedule 7 Workpaper'!D56</f>
        <v>2018</v>
      </c>
      <c r="D56" s="465">
        <f>'Schedule 7 Workpaper'!G56 + 'Schedule 7 Workpaper'!J56+'Schedule 7 Workpaper'!M56+'Schedule 7 Workpaper'!P56</f>
        <v>4</v>
      </c>
      <c r="E56" s="89">
        <f>'Schedule 7 Workpaper'!E56</f>
        <v>39009.31</v>
      </c>
      <c r="F56" s="89">
        <f>'Schedule 7 Workpaper'!U56</f>
        <v>4774.74</v>
      </c>
      <c r="G56" s="90">
        <f>'Schedule 7 Workpaper'!W56</f>
        <v>850.4</v>
      </c>
    </row>
    <row r="57" spans="1:7">
      <c r="A57" s="35" t="str">
        <f>'Schedule 7 Workpaper'!B57</f>
        <v>Twin Falls Power Plant Twin Fa</v>
      </c>
      <c r="B57" s="45">
        <f>'Schedule 7 Workpaper'!C57</f>
        <v>353</v>
      </c>
      <c r="C57" s="45">
        <f>'Schedule 7 Workpaper'!D57</f>
        <v>1949</v>
      </c>
      <c r="D57" s="465">
        <f>'Schedule 7 Workpaper'!G57 + 'Schedule 7 Workpaper'!J57+'Schedule 7 Workpaper'!M57+'Schedule 7 Workpaper'!P57</f>
        <v>73</v>
      </c>
      <c r="E57" s="89">
        <f>'Schedule 7 Workpaper'!E57</f>
        <v>39458.78</v>
      </c>
      <c r="F57" s="89">
        <f>'Schedule 7 Workpaper'!U57</f>
        <v>61990.770000000004</v>
      </c>
      <c r="G57" s="90">
        <f>'Schedule 7 Workpaper'!W57</f>
        <v>860.2</v>
      </c>
    </row>
    <row r="58" spans="1:7">
      <c r="A58" s="35" t="str">
        <f>'Schedule 7 Workpaper'!B58</f>
        <v>Twin Falls Power Plant (New)</v>
      </c>
      <c r="B58" s="45">
        <f>'Schedule 7 Workpaper'!C58</f>
        <v>353</v>
      </c>
      <c r="C58" s="45">
        <f>'Schedule 7 Workpaper'!D58</f>
        <v>1995</v>
      </c>
      <c r="D58" s="465">
        <f>'Schedule 7 Workpaper'!G58 + 'Schedule 7 Workpaper'!J58+'Schedule 7 Workpaper'!M58+'Schedule 7 Workpaper'!P58</f>
        <v>27</v>
      </c>
      <c r="E58" s="89">
        <f>'Schedule 7 Workpaper'!E58</f>
        <v>430708.27</v>
      </c>
      <c r="F58" s="89">
        <f>'Schedule 7 Workpaper'!U58</f>
        <v>256627.19</v>
      </c>
      <c r="G58" s="90">
        <f>'Schedule 7 Workpaper'!W58</f>
        <v>9389.44</v>
      </c>
    </row>
    <row r="59" spans="1:7">
      <c r="A59" s="35" t="str">
        <f>'Schedule 7 Workpaper'!B59</f>
        <v>Thousand Springs Power Plant</v>
      </c>
      <c r="B59" s="45">
        <f>'Schedule 7 Workpaper'!C59</f>
        <v>353</v>
      </c>
      <c r="C59" s="45">
        <f>'Schedule 7 Workpaper'!D59</f>
        <v>1956</v>
      </c>
      <c r="D59" s="465">
        <f>'Schedule 7 Workpaper'!G59 + 'Schedule 7 Workpaper'!J59+'Schedule 7 Workpaper'!M59+'Schedule 7 Workpaper'!P59</f>
        <v>66</v>
      </c>
      <c r="E59" s="89">
        <f>'Schedule 7 Workpaper'!E59</f>
        <v>36470.01</v>
      </c>
      <c r="F59" s="89">
        <f>'Schedule 7 Workpaper'!U59</f>
        <v>51883.17</v>
      </c>
      <c r="G59" s="90">
        <f>'Schedule 7 Workpaper'!W59</f>
        <v>795.05</v>
      </c>
    </row>
    <row r="60" spans="1:7">
      <c r="A60" s="35" t="str">
        <f>'Schedule 7 Workpaper'!B60</f>
        <v>Upper Malad Power Plant</v>
      </c>
      <c r="B60" s="45">
        <f>'Schedule 7 Workpaper'!C60</f>
        <v>353</v>
      </c>
      <c r="C60" s="45">
        <f>'Schedule 7 Workpaper'!D60</f>
        <v>1948</v>
      </c>
      <c r="D60" s="465">
        <f>'Schedule 7 Workpaper'!G60 + 'Schedule 7 Workpaper'!J60+'Schedule 7 Workpaper'!M60+'Schedule 7 Workpaper'!P60</f>
        <v>74</v>
      </c>
      <c r="E60" s="89">
        <f>'Schedule 7 Workpaper'!E60</f>
        <v>31129.21</v>
      </c>
      <c r="F60" s="89">
        <f>'Schedule 7 Workpaper'!U60</f>
        <v>49564.73</v>
      </c>
      <c r="G60" s="90">
        <f>'Schedule 7 Workpaper'!W60</f>
        <v>678.62</v>
      </c>
    </row>
    <row r="61" spans="1:7">
      <c r="A61" s="35" t="str">
        <f>'Schedule 7 Workpaper'!B61</f>
        <v>Upper Malad Power Plant</v>
      </c>
      <c r="B61" s="45">
        <f>'Schedule 7 Workpaper'!C61</f>
        <v>353</v>
      </c>
      <c r="C61" s="45">
        <f>'Schedule 7 Workpaper'!D61</f>
        <v>1987</v>
      </c>
      <c r="D61" s="465">
        <f>'Schedule 7 Workpaper'!G61 + 'Schedule 7 Workpaper'!J61+'Schedule 7 Workpaper'!M61+'Schedule 7 Workpaper'!P61</f>
        <v>35</v>
      </c>
      <c r="E61" s="89">
        <f>'Schedule 7 Workpaper'!E61</f>
        <v>2109.16</v>
      </c>
      <c r="F61" s="89">
        <f>'Schedule 7 Workpaper'!U61</f>
        <v>1614.3999999999999</v>
      </c>
      <c r="G61" s="90">
        <f>'Schedule 7 Workpaper'!W61</f>
        <v>45.98</v>
      </c>
    </row>
    <row r="62" spans="1:7">
      <c r="A62" s="35" t="str">
        <f>'Schedule 7 Workpaper'!B62</f>
        <v>Upper Malad Power Plant</v>
      </c>
      <c r="B62" s="45">
        <f>'Schedule 7 Workpaper'!C62</f>
        <v>353</v>
      </c>
      <c r="C62" s="45">
        <f>'Schedule 7 Workpaper'!D62</f>
        <v>1988</v>
      </c>
      <c r="D62" s="465">
        <f>'Schedule 7 Workpaper'!G62 + 'Schedule 7 Workpaper'!J62+'Schedule 7 Workpaper'!M62+'Schedule 7 Workpaper'!P62</f>
        <v>34</v>
      </c>
      <c r="E62" s="89">
        <f>'Schedule 7 Workpaper'!E62</f>
        <v>278.93</v>
      </c>
      <c r="F62" s="89">
        <f>'Schedule 7 Workpaper'!U62</f>
        <v>207.59</v>
      </c>
      <c r="G62" s="90">
        <f>'Schedule 7 Workpaper'!W62</f>
        <v>6.08</v>
      </c>
    </row>
    <row r="63" spans="1:7">
      <c r="A63" s="35" t="str">
        <f>'Schedule 7 Workpaper'!B63</f>
        <v>Upper Salmon A Power Plant</v>
      </c>
      <c r="B63" s="45">
        <f>'Schedule 7 Workpaper'!C63</f>
        <v>353</v>
      </c>
      <c r="C63" s="45">
        <f>'Schedule 7 Workpaper'!D63</f>
        <v>1937</v>
      </c>
      <c r="D63" s="465">
        <f>'Schedule 7 Workpaper'!G63 + 'Schedule 7 Workpaper'!J63+'Schedule 7 Workpaper'!M63+'Schedule 7 Workpaper'!P63</f>
        <v>85</v>
      </c>
      <c r="E63" s="89">
        <f>'Schedule 7 Workpaper'!E63</f>
        <v>72167.73</v>
      </c>
      <c r="F63" s="89">
        <f>'Schedule 7 Workpaper'!U63</f>
        <v>131736.85</v>
      </c>
      <c r="G63" s="90">
        <f>'Schedule 7 Workpaper'!W63</f>
        <v>1573.26</v>
      </c>
    </row>
    <row r="64" spans="1:7">
      <c r="A64" s="35" t="str">
        <f>'Schedule 7 Workpaper'!B64</f>
        <v>Upper Salmon A Power Plant</v>
      </c>
      <c r="B64" s="45">
        <f>'Schedule 7 Workpaper'!C64</f>
        <v>353</v>
      </c>
      <c r="C64" s="45">
        <f>'Schedule 7 Workpaper'!D64</f>
        <v>1954</v>
      </c>
      <c r="D64" s="465">
        <f>'Schedule 7 Workpaper'!G64 + 'Schedule 7 Workpaper'!J64+'Schedule 7 Workpaper'!M64+'Schedule 7 Workpaper'!P64</f>
        <v>68</v>
      </c>
      <c r="E64" s="89">
        <f>'Schedule 7 Workpaper'!E64</f>
        <v>418.06</v>
      </c>
      <c r="F64" s="89">
        <f>'Schedule 7 Workpaper'!U64</f>
        <v>612.48000000000013</v>
      </c>
      <c r="G64" s="90">
        <f>'Schedule 7 Workpaper'!W64</f>
        <v>9.11</v>
      </c>
    </row>
    <row r="65" spans="1:7">
      <c r="A65" s="35" t="str">
        <f>'Schedule 7 Workpaper'!B65</f>
        <v>Upper Salmon B Power Plant</v>
      </c>
      <c r="B65" s="45">
        <f>'Schedule 7 Workpaper'!C65</f>
        <v>353</v>
      </c>
      <c r="C65" s="45">
        <f>'Schedule 7 Workpaper'!D65</f>
        <v>1947</v>
      </c>
      <c r="D65" s="465">
        <f>'Schedule 7 Workpaper'!G65 + 'Schedule 7 Workpaper'!J65+'Schedule 7 Workpaper'!M65+'Schedule 7 Workpaper'!P65</f>
        <v>75</v>
      </c>
      <c r="E65" s="89">
        <f>'Schedule 7 Workpaper'!E65</f>
        <v>70392.59</v>
      </c>
      <c r="F65" s="89">
        <f>'Schedule 7 Workpaper'!U65</f>
        <v>113573.24</v>
      </c>
      <c r="G65" s="90">
        <f>'Schedule 7 Workpaper'!W65</f>
        <v>1534.56</v>
      </c>
    </row>
    <row r="66" spans="1:7">
      <c r="A66" s="35" t="str">
        <f>'Schedule 7 Workpaper'!B66</f>
        <v>Jim Bridger</v>
      </c>
      <c r="B66" s="45">
        <f>'Schedule 7 Workpaper'!C66</f>
        <v>353</v>
      </c>
      <c r="C66" s="45">
        <f>'Schedule 7 Workpaper'!D66</f>
        <v>1976</v>
      </c>
      <c r="D66" s="465">
        <f>'Schedule 7 Workpaper'!G66 + 'Schedule 7 Workpaper'!J66+'Schedule 7 Workpaper'!M66+'Schedule 7 Workpaper'!P66</f>
        <v>46</v>
      </c>
      <c r="E66" s="89">
        <f>'Schedule 7 Workpaper'!E66</f>
        <v>268996.22000000003</v>
      </c>
      <c r="F66" s="89">
        <f>'Schedule 7 Workpaper'!U66</f>
        <v>282581.06</v>
      </c>
      <c r="G66" s="90">
        <f>'Schedule 7 Workpaper'!W66</f>
        <v>12841.34</v>
      </c>
    </row>
    <row r="67" spans="1:7">
      <c r="A67" s="35" t="str">
        <f>'Schedule 7 Workpaper'!B67</f>
        <v>Jim Bridger</v>
      </c>
      <c r="B67" s="45">
        <f>'Schedule 7 Workpaper'!C67</f>
        <v>353</v>
      </c>
      <c r="C67" s="45">
        <f>'Schedule 7 Workpaper'!D67</f>
        <v>1990</v>
      </c>
      <c r="D67" s="465">
        <f>'Schedule 7 Workpaper'!G67 + 'Schedule 7 Workpaper'!J67+'Schedule 7 Workpaper'!M67+'Schedule 7 Workpaper'!P67</f>
        <v>32</v>
      </c>
      <c r="E67" s="89">
        <f>'Schedule 7 Workpaper'!E67</f>
        <v>889400.77</v>
      </c>
      <c r="F67" s="89">
        <f>'Schedule 7 Workpaper'!U67</f>
        <v>670343.1399999999</v>
      </c>
      <c r="G67" s="90">
        <f>'Schedule 7 Workpaper'!W67</f>
        <v>42458.21</v>
      </c>
    </row>
    <row r="68" spans="1:7">
      <c r="A68" s="35" t="str">
        <f>'Schedule 7 Workpaper'!B68</f>
        <v>Jim Bridger</v>
      </c>
      <c r="B68" s="45">
        <f>'Schedule 7 Workpaper'!C68</f>
        <v>353</v>
      </c>
      <c r="C68" s="45">
        <f>'Schedule 7 Workpaper'!D68</f>
        <v>1995</v>
      </c>
      <c r="D68" s="465">
        <f>'Schedule 7 Workpaper'!G68 + 'Schedule 7 Workpaper'!J68+'Schedule 7 Workpaper'!M68+'Schedule 7 Workpaper'!P68</f>
        <v>27</v>
      </c>
      <c r="E68" s="89">
        <f>'Schedule 7 Workpaper'!E68</f>
        <v>27259</v>
      </c>
      <c r="F68" s="89">
        <f>'Schedule 7 Workpaper'!U68</f>
        <v>17655.72</v>
      </c>
      <c r="G68" s="90">
        <f>'Schedule 7 Workpaper'!W68</f>
        <v>1301.29</v>
      </c>
    </row>
    <row r="69" spans="1:7">
      <c r="A69" s="35" t="str">
        <f>'Schedule 7 Workpaper'!B69</f>
        <v>Jim Bridger</v>
      </c>
      <c r="B69" s="45">
        <f>'Schedule 7 Workpaper'!C69</f>
        <v>353</v>
      </c>
      <c r="C69" s="45">
        <f>'Schedule 7 Workpaper'!D69</f>
        <v>1996</v>
      </c>
      <c r="D69" s="465">
        <f>'Schedule 7 Workpaper'!G69 + 'Schedule 7 Workpaper'!J69+'Schedule 7 Workpaper'!M69+'Schedule 7 Workpaper'!P69</f>
        <v>26</v>
      </c>
      <c r="E69" s="89">
        <f>'Schedule 7 Workpaper'!E69</f>
        <v>45684</v>
      </c>
      <c r="F69" s="89">
        <f>'Schedule 7 Workpaper'!U69</f>
        <v>28621.119999999999</v>
      </c>
      <c r="G69" s="90">
        <f>'Schedule 7 Workpaper'!W69</f>
        <v>2180.86</v>
      </c>
    </row>
    <row r="70" spans="1:7">
      <c r="A70" s="35" t="str">
        <f>'Schedule 7 Workpaper'!B70</f>
        <v>Jim Bridger</v>
      </c>
      <c r="B70" s="45">
        <f>'Schedule 7 Workpaper'!C70</f>
        <v>353</v>
      </c>
      <c r="C70" s="45">
        <f>'Schedule 7 Workpaper'!D70</f>
        <v>2000</v>
      </c>
      <c r="D70" s="465">
        <f>'Schedule 7 Workpaper'!G70 + 'Schedule 7 Workpaper'!J70+'Schedule 7 Workpaper'!M70+'Schedule 7 Workpaper'!P70</f>
        <v>22</v>
      </c>
      <c r="E70" s="89">
        <f>'Schedule 7 Workpaper'!E70</f>
        <v>951792.17</v>
      </c>
      <c r="F70" s="89">
        <f>'Schedule 7 Workpaper'!U70</f>
        <v>515587.73000000004</v>
      </c>
      <c r="G70" s="90">
        <f>'Schedule 7 Workpaper'!W70</f>
        <v>45436.65</v>
      </c>
    </row>
    <row r="71" spans="1:7">
      <c r="A71" s="35" t="str">
        <f>'Schedule 7 Workpaper'!B71</f>
        <v>Jim Bridger</v>
      </c>
      <c r="B71" s="45">
        <f>'Schedule 7 Workpaper'!C71</f>
        <v>353</v>
      </c>
      <c r="C71" s="45">
        <f>'Schedule 7 Workpaper'!D71</f>
        <v>2008</v>
      </c>
      <c r="D71" s="465">
        <f>'Schedule 7 Workpaper'!G71 + 'Schedule 7 Workpaper'!J71+'Schedule 7 Workpaper'!M71+'Schedule 7 Workpaper'!P71</f>
        <v>14</v>
      </c>
      <c r="E71" s="89">
        <f>'Schedule 7 Workpaper'!E71</f>
        <v>90542.299999999988</v>
      </c>
      <c r="F71" s="89">
        <f>'Schedule 7 Workpaper'!U71</f>
        <v>33690.980000000003</v>
      </c>
      <c r="G71" s="90">
        <f>'Schedule 7 Workpaper'!W71</f>
        <v>4322.3100000000004</v>
      </c>
    </row>
    <row r="72" spans="1:7">
      <c r="A72" s="35" t="str">
        <f>'Schedule 7 Workpaper'!B72</f>
        <v>Jim Bridger</v>
      </c>
      <c r="B72" s="45">
        <f>'Schedule 7 Workpaper'!C72</f>
        <v>353</v>
      </c>
      <c r="C72" s="45">
        <f>'Schedule 7 Workpaper'!D72</f>
        <v>2011</v>
      </c>
      <c r="D72" s="465">
        <f>'Schedule 7 Workpaper'!G72 + 'Schedule 7 Workpaper'!J72+'Schedule 7 Workpaper'!M72+'Schedule 7 Workpaper'!P72</f>
        <v>11</v>
      </c>
      <c r="E72" s="89">
        <f>'Schedule 7 Workpaper'!E72</f>
        <v>404249.54000000004</v>
      </c>
      <c r="F72" s="89">
        <f>'Schedule 7 Workpaper'!U72</f>
        <v>125298.76999999999</v>
      </c>
      <c r="G72" s="90">
        <f>'Schedule 7 Workpaper'!W72</f>
        <v>19298.060000000001</v>
      </c>
    </row>
    <row r="73" spans="1:7">
      <c r="A73" s="35" t="str">
        <f>'Schedule 7 Workpaper'!B73</f>
        <v>Jim Bridger</v>
      </c>
      <c r="B73" s="45">
        <f>'Schedule 7 Workpaper'!C73</f>
        <v>353</v>
      </c>
      <c r="C73" s="45">
        <f>'Schedule 7 Workpaper'!D73</f>
        <v>2013</v>
      </c>
      <c r="D73" s="465">
        <f>'Schedule 7 Workpaper'!G73 + 'Schedule 7 Workpaper'!J73+'Schedule 7 Workpaper'!M73+'Schedule 7 Workpaper'!P73</f>
        <v>9.5799999999999272</v>
      </c>
      <c r="E73" s="89">
        <f>'Schedule 7 Workpaper'!E73</f>
        <v>20629.744999999999</v>
      </c>
      <c r="F73" s="89">
        <f>'Schedule 7 Workpaper'!U73</f>
        <v>5790.82</v>
      </c>
      <c r="G73" s="90">
        <f>'Schedule 7 Workpaper'!W73</f>
        <v>984.82</v>
      </c>
    </row>
    <row r="74" spans="1:7">
      <c r="A74" s="35" t="str">
        <f>'Schedule 7 Workpaper'!B74</f>
        <v>Jim Bridger</v>
      </c>
      <c r="B74" s="45">
        <f>'Schedule 7 Workpaper'!C74</f>
        <v>353</v>
      </c>
      <c r="C74" s="45">
        <f>'Schedule 7 Workpaper'!D74</f>
        <v>2013</v>
      </c>
      <c r="D74" s="465">
        <f>'Schedule 7 Workpaper'!G74 + 'Schedule 7 Workpaper'!J74+'Schedule 7 Workpaper'!M74+'Schedule 7 Workpaper'!P74</f>
        <v>9.5799999999999272</v>
      </c>
      <c r="E74" s="89">
        <f>'Schedule 7 Workpaper'!E74</f>
        <v>1564945.2299999997</v>
      </c>
      <c r="F74" s="89">
        <f>'Schedule 7 Workpaper'!U74</f>
        <v>439283.26</v>
      </c>
      <c r="G74" s="90">
        <f>'Schedule 7 Workpaper'!W74</f>
        <v>74707.360000000001</v>
      </c>
    </row>
    <row r="75" spans="1:7">
      <c r="A75" s="35" t="str">
        <f>'Schedule 7 Workpaper'!B75</f>
        <v>Jim Bridger</v>
      </c>
      <c r="B75" s="45">
        <f>'Schedule 7 Workpaper'!C75</f>
        <v>353</v>
      </c>
      <c r="C75" s="45">
        <f>'Schedule 7 Workpaper'!D75</f>
        <v>2014</v>
      </c>
      <c r="D75" s="465">
        <f>'Schedule 7 Workpaper'!G75 + 'Schedule 7 Workpaper'!J75+'Schedule 7 Workpaper'!M75+'Schedule 7 Workpaper'!P75</f>
        <v>8.5799999999999272</v>
      </c>
      <c r="E75" s="89">
        <f>'Schedule 7 Workpaper'!E75</f>
        <v>1663953.15</v>
      </c>
      <c r="F75" s="89">
        <f>'Schedule 7 Workpaper'!U75</f>
        <v>435459.87</v>
      </c>
      <c r="G75" s="90">
        <f>'Schedule 7 Workpaper'!W75</f>
        <v>79433.8</v>
      </c>
    </row>
    <row r="76" spans="1:7">
      <c r="A76" s="35" t="str">
        <f>'Schedule 7 Workpaper'!B76</f>
        <v>Jim Bridger</v>
      </c>
      <c r="B76" s="45">
        <f>'Schedule 7 Workpaper'!C76</f>
        <v>353</v>
      </c>
      <c r="C76" s="45">
        <f>'Schedule 7 Workpaper'!D76</f>
        <v>2015</v>
      </c>
      <c r="D76" s="465">
        <f>'Schedule 7 Workpaper'!G76 + 'Schedule 7 Workpaper'!J76+'Schedule 7 Workpaper'!M76+'Schedule 7 Workpaper'!P76</f>
        <v>7.5799999999999272</v>
      </c>
      <c r="E76" s="89">
        <f>'Schedule 7 Workpaper'!E76</f>
        <v>6785.08</v>
      </c>
      <c r="F76" s="89">
        <f>'Schedule 7 Workpaper'!U76</f>
        <v>1646.75</v>
      </c>
      <c r="G76" s="90">
        <f>'Schedule 7 Workpaper'!W76</f>
        <v>323.91000000000003</v>
      </c>
    </row>
    <row r="77" spans="1:7">
      <c r="A77" s="35" t="str">
        <f>'Schedule 7 Workpaper'!B77</f>
        <v>Jim Bridger</v>
      </c>
      <c r="B77" s="45">
        <f>'Schedule 7 Workpaper'!C77</f>
        <v>353</v>
      </c>
      <c r="C77" s="45">
        <f>'Schedule 7 Workpaper'!D77</f>
        <v>2016</v>
      </c>
      <c r="D77" s="465">
        <f>'Schedule 7 Workpaper'!G77 + 'Schedule 7 Workpaper'!J77+'Schedule 7 Workpaper'!M77+'Schedule 7 Workpaper'!P77</f>
        <v>6.5799999999999272</v>
      </c>
      <c r="E77" s="89">
        <f>'Schedule 7 Workpaper'!E77</f>
        <v>106277.78</v>
      </c>
      <c r="F77" s="89">
        <f>'Schedule 7 Workpaper'!U77</f>
        <v>23774.559999999998</v>
      </c>
      <c r="G77" s="90">
        <f>'Schedule 7 Workpaper'!W77</f>
        <v>5073.49</v>
      </c>
    </row>
    <row r="78" spans="1:7">
      <c r="A78" s="35" t="str">
        <f>'Schedule 7 Workpaper'!B78</f>
        <v>Jim Bridger</v>
      </c>
      <c r="B78" s="45">
        <f>'Schedule 7 Workpaper'!C78</f>
        <v>353</v>
      </c>
      <c r="C78" s="45">
        <f>'Schedule 7 Workpaper'!D78</f>
        <v>2018</v>
      </c>
      <c r="D78" s="465">
        <f>'Schedule 7 Workpaper'!G78 + 'Schedule 7 Workpaper'!J78+'Schedule 7 Workpaper'!M78+'Schedule 7 Workpaper'!P78</f>
        <v>4</v>
      </c>
      <c r="E78" s="89">
        <f>'Schedule 7 Workpaper'!E78</f>
        <v>145615.81</v>
      </c>
      <c r="F78" s="89">
        <f>'Schedule 7 Workpaper'!U78</f>
        <v>25377.35</v>
      </c>
      <c r="G78" s="90">
        <f>'Schedule 7 Workpaper'!W78</f>
        <v>6951.41</v>
      </c>
    </row>
    <row r="79" spans="1:7">
      <c r="A79" s="35" t="str">
        <f>'Schedule 7 Workpaper'!B79</f>
        <v>Valmy #1 &amp; Common Non-Steam</v>
      </c>
      <c r="B79" s="45">
        <f>'Schedule 7 Workpaper'!C79</f>
        <v>353</v>
      </c>
      <c r="C79" s="45">
        <f>'Schedule 7 Workpaper'!D79</f>
        <v>2008</v>
      </c>
      <c r="D79" s="465">
        <f>'Schedule 7 Workpaper'!G79 + 'Schedule 7 Workpaper'!J79+'Schedule 7 Workpaper'!M79+'Schedule 7 Workpaper'!P79</f>
        <v>14</v>
      </c>
      <c r="E79" s="89">
        <f>'Schedule 7 Workpaper'!E79</f>
        <v>2223479.04</v>
      </c>
      <c r="F79" s="89">
        <f>'Schedule 7 Workpaper'!U79</f>
        <v>1984041.48</v>
      </c>
      <c r="G79" s="90">
        <f>'Schedule 7 Workpaper'!W79</f>
        <v>156977.62</v>
      </c>
    </row>
    <row r="80" spans="1:7">
      <c r="A80" s="35" t="str">
        <f>'Schedule 7 Workpaper'!B80</f>
        <v>Valmy #1 &amp; Common Non-Steam</v>
      </c>
      <c r="B80" s="45">
        <f>'Schedule 7 Workpaper'!C80</f>
        <v>353</v>
      </c>
      <c r="C80" s="45">
        <f>'Schedule 7 Workpaper'!D80</f>
        <v>2011</v>
      </c>
      <c r="D80" s="465">
        <f>'Schedule 7 Workpaper'!G80 + 'Schedule 7 Workpaper'!J80+'Schedule 7 Workpaper'!M80+'Schedule 7 Workpaper'!P80</f>
        <v>11</v>
      </c>
      <c r="E80" s="89">
        <f>'Schedule 7 Workpaper'!E80</f>
        <v>63402.18</v>
      </c>
      <c r="F80" s="89">
        <f>'Schedule 7 Workpaper'!U80</f>
        <v>52634.34</v>
      </c>
      <c r="G80" s="90">
        <f>'Schedule 7 Workpaper'!W80</f>
        <v>4476.1899999999996</v>
      </c>
    </row>
    <row r="81" spans="1:7">
      <c r="A81" s="35" t="str">
        <f>'Schedule 7 Workpaper'!B81</f>
        <v>Valmy Substation</v>
      </c>
      <c r="B81" s="45">
        <f>'Schedule 7 Workpaper'!C81</f>
        <v>353</v>
      </c>
      <c r="C81" s="45">
        <f>'Schedule 7 Workpaper'!D81</f>
        <v>2013</v>
      </c>
      <c r="D81" s="465">
        <f>'Schedule 7 Workpaper'!G81 + 'Schedule 7 Workpaper'!J81+'Schedule 7 Workpaper'!M81+'Schedule 7 Workpaper'!P81</f>
        <v>9.5799999999999272</v>
      </c>
      <c r="E81" s="89">
        <f>'Schedule 7 Workpaper'!E81</f>
        <v>138087.56</v>
      </c>
      <c r="F81" s="89">
        <f>'Schedule 7 Workpaper'!U81</f>
        <v>110596.25999999998</v>
      </c>
      <c r="G81" s="90">
        <f>'Schedule 7 Workpaper'!W81</f>
        <v>9748.98</v>
      </c>
    </row>
    <row r="82" spans="1:7">
      <c r="A82" s="35" t="str">
        <f>'Schedule 7 Workpaper'!B82</f>
        <v>Valmy #2 Substation</v>
      </c>
      <c r="B82" s="45">
        <f>'Schedule 7 Workpaper'!C82</f>
        <v>352</v>
      </c>
      <c r="C82" s="45">
        <f>'Schedule 7 Workpaper'!D82</f>
        <v>1982</v>
      </c>
      <c r="D82" s="465">
        <f>'Schedule 7 Workpaper'!G82 + 'Schedule 7 Workpaper'!J82+'Schedule 7 Workpaper'!M82+'Schedule 7 Workpaper'!P82</f>
        <v>40</v>
      </c>
      <c r="E82" s="89">
        <f>'Schedule 7 Workpaper'!E82</f>
        <v>55381.11</v>
      </c>
      <c r="F82" s="89">
        <f>'Schedule 7 Workpaper'!U82</f>
        <v>39032.06</v>
      </c>
      <c r="G82" s="90">
        <f>'Schedule 7 Workpaper'!W82</f>
        <v>1733.43</v>
      </c>
    </row>
    <row r="83" spans="1:7">
      <c r="A83" s="35" t="str">
        <f>'Schedule 7 Workpaper'!B83</f>
        <v>Valmy #2 Substation</v>
      </c>
      <c r="B83" s="45">
        <f>'Schedule 7 Workpaper'!C83</f>
        <v>353</v>
      </c>
      <c r="C83" s="45">
        <f>'Schedule 7 Workpaper'!D83</f>
        <v>1985</v>
      </c>
      <c r="D83" s="465">
        <f>'Schedule 7 Workpaper'!G83 + 'Schedule 7 Workpaper'!J83+'Schedule 7 Workpaper'!M83+'Schedule 7 Workpaper'!P83</f>
        <v>37</v>
      </c>
      <c r="E83" s="89">
        <f>'Schedule 7 Workpaper'!E83</f>
        <v>847152.74</v>
      </c>
      <c r="F83" s="89">
        <f>'Schedule 7 Workpaper'!U83</f>
        <v>780573.32</v>
      </c>
      <c r="G83" s="90">
        <f>'Schedule 7 Workpaper'!W83</f>
        <v>31852.94</v>
      </c>
    </row>
    <row r="84" spans="1:7">
      <c r="A84" s="35" t="str">
        <f>'Schedule 7 Workpaper'!B84</f>
        <v>Valmy #2 Substation</v>
      </c>
      <c r="B84" s="45">
        <f>'Schedule 7 Workpaper'!C84</f>
        <v>353</v>
      </c>
      <c r="C84" s="45">
        <f>'Schedule 7 Workpaper'!D84</f>
        <v>1986</v>
      </c>
      <c r="D84" s="465">
        <f>'Schedule 7 Workpaper'!G84 + 'Schedule 7 Workpaper'!J84+'Schedule 7 Workpaper'!M84+'Schedule 7 Workpaper'!P84</f>
        <v>36</v>
      </c>
      <c r="E84" s="89">
        <f>'Schedule 7 Workpaper'!E84</f>
        <v>4161.2299999999996</v>
      </c>
      <c r="F84" s="89">
        <f>'Schedule 7 Workpaper'!U84</f>
        <v>3745.9700000000003</v>
      </c>
      <c r="G84" s="90">
        <f>'Schedule 7 Workpaper'!W84</f>
        <v>156.46</v>
      </c>
    </row>
    <row r="85" spans="1:7">
      <c r="A85" s="35" t="str">
        <f>'Schedule 7 Workpaper'!B85</f>
        <v>Valmy #2 Substation</v>
      </c>
      <c r="B85" s="45">
        <f>'Schedule 7 Workpaper'!C85</f>
        <v>353</v>
      </c>
      <c r="C85" s="45">
        <f>'Schedule 7 Workpaper'!D85</f>
        <v>1987</v>
      </c>
      <c r="D85" s="465">
        <f>'Schedule 7 Workpaper'!G85 + 'Schedule 7 Workpaper'!J85+'Schedule 7 Workpaper'!M85+'Schedule 7 Workpaper'!P85</f>
        <v>35</v>
      </c>
      <c r="E85" s="89">
        <f>'Schedule 7 Workpaper'!E85</f>
        <v>70.08</v>
      </c>
      <c r="F85" s="89">
        <f>'Schedule 7 Workpaper'!U85</f>
        <v>61.600000000000009</v>
      </c>
      <c r="G85" s="90">
        <f>'Schedule 7 Workpaper'!W85</f>
        <v>2.64</v>
      </c>
    </row>
    <row r="86" spans="1:7">
      <c r="A86" s="35" t="str">
        <f>'Schedule 7 Workpaper'!B86</f>
        <v>Valmy #2 Substation</v>
      </c>
      <c r="B86" s="45">
        <f>'Schedule 7 Workpaper'!C86</f>
        <v>353</v>
      </c>
      <c r="C86" s="45">
        <f>'Schedule 7 Workpaper'!D86</f>
        <v>2011</v>
      </c>
      <c r="D86" s="465">
        <f>'Schedule 7 Workpaper'!G86 + 'Schedule 7 Workpaper'!J86+'Schedule 7 Workpaper'!M86+'Schedule 7 Workpaper'!P86</f>
        <v>11</v>
      </c>
      <c r="E86" s="89">
        <f>'Schedule 7 Workpaper'!E86</f>
        <v>22115.47</v>
      </c>
      <c r="F86" s="89">
        <f>'Schedule 7 Workpaper'!U86</f>
        <v>8219.43</v>
      </c>
      <c r="G86" s="90">
        <f>'Schedule 7 Workpaper'!W86</f>
        <v>831.54</v>
      </c>
    </row>
    <row r="87" spans="1:7">
      <c r="A87" s="35"/>
      <c r="B87" s="45"/>
      <c r="C87" s="45"/>
      <c r="D87" s="465"/>
      <c r="E87" s="89"/>
      <c r="F87" s="89"/>
      <c r="G87" s="90"/>
    </row>
    <row r="88" spans="1:7">
      <c r="A88" s="35"/>
      <c r="B88" s="254"/>
      <c r="C88" s="540"/>
      <c r="D88" s="540"/>
      <c r="E88" s="421"/>
      <c r="F88" s="421"/>
    </row>
    <row r="89" spans="1:7">
      <c r="A89" s="193" t="s">
        <v>469</v>
      </c>
      <c r="B89" s="254"/>
      <c r="C89" s="540"/>
      <c r="D89" s="540"/>
      <c r="E89" s="123">
        <f>SUM(E12:E88)</f>
        <v>40995725.88499999</v>
      </c>
      <c r="F89" s="123">
        <f>SUM(F12:F88)</f>
        <v>16304105.950000007</v>
      </c>
      <c r="G89" s="123">
        <f>SUM(G12:G88)</f>
        <v>1186828.52</v>
      </c>
    </row>
    <row r="91" spans="1:7">
      <c r="E91" s="467">
        <f>'Schedule 7 Workpaper'!E88</f>
        <v>40995725.88499999</v>
      </c>
      <c r="F91" s="467">
        <f>'Schedule 7 Workpaper'!U88</f>
        <v>16304105.950000007</v>
      </c>
      <c r="G91" s="467">
        <f>'Schedule 7 Workpaper'!W88</f>
        <v>1186828.52</v>
      </c>
    </row>
    <row r="92" spans="1:7">
      <c r="E92" s="467">
        <f>E91-E89</f>
        <v>0</v>
      </c>
      <c r="F92" s="467">
        <f>F91-F89</f>
        <v>0</v>
      </c>
      <c r="G92" s="467">
        <f>G91-G89</f>
        <v>0</v>
      </c>
    </row>
    <row r="93" spans="1:7">
      <c r="E93" s="466" t="str">
        <f>IF(E92=0,"","Error")</f>
        <v/>
      </c>
      <c r="F93" s="466" t="str">
        <f>IF(F92=0,"","Error")</f>
        <v/>
      </c>
      <c r="G93" s="466" t="str">
        <f>IF(G92=0,"","Error")</f>
        <v/>
      </c>
    </row>
  </sheetData>
  <mergeCells count="8">
    <mergeCell ref="A9:G9"/>
    <mergeCell ref="A7:H7"/>
    <mergeCell ref="A8:H8"/>
    <mergeCell ref="A1:H1"/>
    <mergeCell ref="A2:H2"/>
    <mergeCell ref="A5:H5"/>
    <mergeCell ref="A6:H6"/>
    <mergeCell ref="A3:H3"/>
  </mergeCells>
  <phoneticPr fontId="22" type="noConversion"/>
  <printOptions horizontalCentered="1"/>
  <pageMargins left="0.75" right="0.75" top="1" bottom="1" header="0.5" footer="0.5"/>
  <pageSetup scale="51" orientation="portrait" r:id="rId1"/>
  <headerFooter alignWithMargins="0"/>
  <rowBreaks count="1" manualBreakCount="1">
    <brk id="65"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H62"/>
  <sheetViews>
    <sheetView zoomScaleNormal="100" zoomScaleSheetLayoutView="100" workbookViewId="0">
      <selection sqref="A1:XFD1048576"/>
    </sheetView>
  </sheetViews>
  <sheetFormatPr defaultColWidth="9.140625" defaultRowHeight="12.75"/>
  <cols>
    <col min="1" max="1" width="4.140625" style="547" customWidth="1"/>
    <col min="2" max="2" width="31.28515625" style="444" customWidth="1"/>
    <col min="3" max="3" width="10.28515625" style="446" customWidth="1"/>
    <col min="4" max="4" width="8.85546875" style="444" bestFit="1" customWidth="1"/>
    <col min="5" max="5" width="14" style="444" customWidth="1"/>
    <col min="6" max="6" width="13.5703125" style="444" bestFit="1" customWidth="1"/>
    <col min="7" max="7" width="17.85546875" style="444" customWidth="1"/>
    <col min="8" max="8" width="9.42578125" style="444" customWidth="1"/>
    <col min="9" max="9" width="9.5703125" style="444" customWidth="1"/>
    <col min="10" max="16384" width="9.140625" style="444"/>
  </cols>
  <sheetData>
    <row r="1" spans="1:8">
      <c r="A1" s="578" t="s">
        <v>459</v>
      </c>
      <c r="B1" s="578"/>
      <c r="C1" s="578"/>
      <c r="D1" s="578"/>
      <c r="E1" s="578"/>
      <c r="F1" s="578"/>
      <c r="G1" s="578"/>
      <c r="H1" s="578"/>
    </row>
    <row r="2" spans="1:8">
      <c r="A2" s="578" t="s">
        <v>1038</v>
      </c>
      <c r="B2" s="578"/>
      <c r="C2" s="578"/>
      <c r="D2" s="578"/>
      <c r="E2" s="578"/>
      <c r="F2" s="578"/>
      <c r="G2" s="578"/>
      <c r="H2" s="578"/>
    </row>
    <row r="3" spans="1:8">
      <c r="A3" s="578" t="str">
        <f>'Title Page'!A10</f>
        <v>FOR THE TWELVE MONTHS ENDED DECEMBER 31, 2023</v>
      </c>
      <c r="B3" s="578"/>
      <c r="C3" s="578"/>
      <c r="D3" s="578"/>
      <c r="E3" s="578"/>
      <c r="F3" s="578"/>
      <c r="G3" s="578"/>
      <c r="H3" s="578"/>
    </row>
    <row r="4" spans="1:8">
      <c r="B4" s="547"/>
      <c r="C4" s="547"/>
      <c r="D4" s="547"/>
      <c r="E4" s="547"/>
      <c r="F4" s="547"/>
      <c r="G4" s="547"/>
      <c r="H4" s="547"/>
    </row>
    <row r="5" spans="1:8">
      <c r="A5" s="577" t="s">
        <v>502</v>
      </c>
      <c r="B5" s="577"/>
      <c r="C5" s="577"/>
      <c r="D5" s="577"/>
      <c r="E5" s="577"/>
      <c r="F5" s="577"/>
      <c r="G5" s="577"/>
      <c r="H5" s="577"/>
    </row>
    <row r="6" spans="1:8">
      <c r="A6" s="577" t="s">
        <v>503</v>
      </c>
      <c r="B6" s="577"/>
      <c r="C6" s="577"/>
      <c r="D6" s="577"/>
      <c r="E6" s="577"/>
      <c r="F6" s="577"/>
      <c r="G6" s="577"/>
      <c r="H6" s="577"/>
    </row>
    <row r="7" spans="1:8">
      <c r="A7" s="577" t="s">
        <v>504</v>
      </c>
      <c r="B7" s="577"/>
      <c r="C7" s="577"/>
      <c r="D7" s="577"/>
      <c r="E7" s="577"/>
      <c r="F7" s="577"/>
      <c r="G7" s="577"/>
      <c r="H7" s="577"/>
    </row>
    <row r="8" spans="1:8">
      <c r="A8" s="577" t="s">
        <v>170</v>
      </c>
      <c r="B8" s="577"/>
      <c r="C8" s="577"/>
      <c r="D8" s="577"/>
      <c r="E8" s="577"/>
      <c r="F8" s="577"/>
      <c r="G8" s="577"/>
      <c r="H8" s="577"/>
    </row>
    <row r="9" spans="1:8">
      <c r="B9" s="546"/>
      <c r="C9" s="546"/>
      <c r="D9" s="546"/>
      <c r="E9" s="546"/>
      <c r="F9" s="546"/>
    </row>
    <row r="10" spans="1:8">
      <c r="B10" s="546"/>
      <c r="C10" s="546"/>
      <c r="D10" s="546"/>
      <c r="E10" s="546"/>
      <c r="F10" s="546"/>
    </row>
    <row r="11" spans="1:8" ht="42" customHeight="1" thickBot="1">
      <c r="B11" s="179" t="s">
        <v>33</v>
      </c>
      <c r="C11" s="382" t="s">
        <v>34</v>
      </c>
      <c r="D11" s="179" t="s">
        <v>35</v>
      </c>
      <c r="E11" s="179" t="s">
        <v>750</v>
      </c>
      <c r="F11" s="179" t="s">
        <v>5</v>
      </c>
      <c r="G11" s="463" t="s">
        <v>169</v>
      </c>
    </row>
    <row r="12" spans="1:8">
      <c r="A12" s="547">
        <v>1</v>
      </c>
      <c r="B12" s="4" t="s">
        <v>505</v>
      </c>
      <c r="C12" s="5">
        <v>352</v>
      </c>
      <c r="D12" s="6">
        <v>2005</v>
      </c>
      <c r="E12" s="3">
        <f>'Schedule 8 Workpaper'!D12</f>
        <v>59325</v>
      </c>
      <c r="F12" s="9">
        <f>'Schedule 8 Workpaper'!T12</f>
        <v>19387.289999999997</v>
      </c>
      <c r="G12" s="2">
        <f>'Schedule 8 Workpaper'!V12</f>
        <v>1127.18</v>
      </c>
    </row>
    <row r="13" spans="1:8">
      <c r="A13" s="547">
        <f>A12+1</f>
        <v>2</v>
      </c>
      <c r="B13" s="4" t="s">
        <v>505</v>
      </c>
      <c r="C13" s="5">
        <v>353</v>
      </c>
      <c r="D13" s="6">
        <v>2005</v>
      </c>
      <c r="E13" s="3">
        <f>'Schedule 8 Workpaper'!D13</f>
        <v>49372</v>
      </c>
      <c r="F13" s="9">
        <f>'Schedule 8 Workpaper'!T13</f>
        <v>18950.259999999998</v>
      </c>
      <c r="G13" s="2">
        <f>'Schedule 8 Workpaper'!V13</f>
        <v>1076.31</v>
      </c>
    </row>
    <row r="14" spans="1:8">
      <c r="A14" s="547">
        <f t="shared" ref="A14:A23" si="0">A13+1</f>
        <v>3</v>
      </c>
      <c r="B14" s="4" t="s">
        <v>132</v>
      </c>
      <c r="C14" s="5">
        <v>352</v>
      </c>
      <c r="D14" s="6">
        <v>2001</v>
      </c>
      <c r="E14" s="3">
        <f>'Schedule 8 Workpaper'!D14</f>
        <v>89955.44</v>
      </c>
      <c r="F14" s="9">
        <f>'Schedule 8 Workpaper'!T14</f>
        <v>34038.959999999999</v>
      </c>
      <c r="G14" s="2">
        <f>'Schedule 8 Workpaper'!V14</f>
        <v>1709.15</v>
      </c>
    </row>
    <row r="15" spans="1:8">
      <c r="A15" s="547">
        <f t="shared" si="0"/>
        <v>4</v>
      </c>
      <c r="B15" s="4" t="s">
        <v>132</v>
      </c>
      <c r="C15" s="5">
        <v>353</v>
      </c>
      <c r="D15" s="6">
        <v>2001</v>
      </c>
      <c r="E15" s="3">
        <f>'Schedule 8 Workpaper'!D15</f>
        <v>433103.7</v>
      </c>
      <c r="F15" s="9">
        <f>'Schedule 8 Workpaper'!T15</f>
        <v>202963.65</v>
      </c>
      <c r="G15" s="2">
        <f>'Schedule 8 Workpaper'!V15</f>
        <v>9441.66</v>
      </c>
    </row>
    <row r="16" spans="1:8">
      <c r="A16" s="547">
        <f t="shared" si="0"/>
        <v>5</v>
      </c>
      <c r="B16" s="4" t="s">
        <v>132</v>
      </c>
      <c r="C16" s="5">
        <v>352</v>
      </c>
      <c r="D16" s="540">
        <v>2008</v>
      </c>
      <c r="E16" s="3">
        <f>'Schedule 8 Workpaper'!D16</f>
        <v>63308</v>
      </c>
      <c r="F16" s="9">
        <f>'Schedule 8 Workpaper'!T16</f>
        <v>18238.91</v>
      </c>
      <c r="G16" s="2">
        <f>'Schedule 8 Workpaper'!V16</f>
        <v>1202.8499999999999</v>
      </c>
    </row>
    <row r="17" spans="1:7">
      <c r="A17" s="547">
        <f t="shared" si="0"/>
        <v>6</v>
      </c>
      <c r="B17" s="4" t="s">
        <v>132</v>
      </c>
      <c r="C17" s="5">
        <v>353</v>
      </c>
      <c r="D17" s="540">
        <v>2008</v>
      </c>
      <c r="E17" s="3">
        <f>'Schedule 8 Workpaper'!D17</f>
        <v>126618</v>
      </c>
      <c r="F17" s="9">
        <f>'Schedule 8 Workpaper'!T17</f>
        <v>40546.369999999995</v>
      </c>
      <c r="G17" s="2">
        <f>'Schedule 8 Workpaper'!V17</f>
        <v>2760.27</v>
      </c>
    </row>
    <row r="18" spans="1:7">
      <c r="A18" s="547">
        <f t="shared" si="0"/>
        <v>7</v>
      </c>
      <c r="B18" s="4" t="s">
        <v>844</v>
      </c>
      <c r="C18" s="5">
        <v>352</v>
      </c>
      <c r="D18" s="540">
        <v>2012</v>
      </c>
      <c r="E18" s="3">
        <f>'Schedule 8 Workpaper'!D18</f>
        <v>150491.68</v>
      </c>
      <c r="F18" s="9">
        <f>'Schedule 8 Workpaper'!T18</f>
        <v>5718.68</v>
      </c>
      <c r="G18" s="2">
        <f>'Schedule 8 Workpaper'!V18</f>
        <v>2859.34</v>
      </c>
    </row>
    <row r="19" spans="1:7">
      <c r="A19" s="547">
        <f t="shared" si="0"/>
        <v>8</v>
      </c>
      <c r="B19" s="4" t="s">
        <v>844</v>
      </c>
      <c r="C19" s="5">
        <v>353</v>
      </c>
      <c r="D19" s="540">
        <v>2012</v>
      </c>
      <c r="E19" s="3">
        <f>'Schedule 8 Workpaper'!D19</f>
        <v>68973.52</v>
      </c>
      <c r="F19" s="9">
        <f>'Schedule 8 Workpaper'!T19</f>
        <v>3007.25</v>
      </c>
      <c r="G19" s="2">
        <f>'Schedule 8 Workpaper'!V19</f>
        <v>1503.62</v>
      </c>
    </row>
    <row r="20" spans="1:7">
      <c r="A20" s="547">
        <f t="shared" si="0"/>
        <v>9</v>
      </c>
      <c r="B20" s="4" t="s">
        <v>1376</v>
      </c>
      <c r="C20" s="5">
        <v>352</v>
      </c>
      <c r="D20" s="540">
        <v>2023</v>
      </c>
      <c r="E20" s="3">
        <f>'Schedule 8 Workpaper'!D20</f>
        <v>886455.85</v>
      </c>
      <c r="F20" s="9">
        <f>'Schedule 8 Workpaper'!T20</f>
        <v>16842.66</v>
      </c>
      <c r="G20" s="2">
        <f>'Schedule 8 Workpaper'!V20</f>
        <v>16842.66</v>
      </c>
    </row>
    <row r="21" spans="1:7">
      <c r="A21" s="547">
        <f t="shared" si="0"/>
        <v>10</v>
      </c>
      <c r="B21" s="4" t="s">
        <v>1376</v>
      </c>
      <c r="C21" s="5">
        <v>353</v>
      </c>
      <c r="D21" s="540">
        <v>2023</v>
      </c>
      <c r="E21" s="3">
        <f>'Schedule 8 Workpaper'!D21</f>
        <v>1883753.93</v>
      </c>
      <c r="F21" s="9">
        <f>'Schedule 8 Workpaper'!T21</f>
        <v>41065.839999999997</v>
      </c>
      <c r="G21" s="2">
        <f>'Schedule 8 Workpaper'!V21</f>
        <v>41065.839999999997</v>
      </c>
    </row>
    <row r="22" spans="1:7">
      <c r="A22" s="547">
        <f t="shared" si="0"/>
        <v>11</v>
      </c>
      <c r="B22" s="193"/>
      <c r="C22" s="5"/>
      <c r="D22" s="540"/>
      <c r="E22" s="7"/>
      <c r="F22" s="7"/>
    </row>
    <row r="23" spans="1:7">
      <c r="A23" s="547">
        <f t="shared" si="0"/>
        <v>12</v>
      </c>
      <c r="B23" s="24" t="s">
        <v>381</v>
      </c>
      <c r="C23" s="5"/>
      <c r="D23" s="6"/>
      <c r="E23" s="168">
        <f>SUM(E12:E21)</f>
        <v>3811357.12</v>
      </c>
      <c r="F23" s="168">
        <f>SUM(F12:F21)</f>
        <v>400759.86999999988</v>
      </c>
      <c r="G23" s="168">
        <f>SUM(G12:G21)</f>
        <v>79588.87999999999</v>
      </c>
    </row>
    <row r="24" spans="1:7">
      <c r="B24" s="4"/>
      <c r="C24" s="5"/>
      <c r="D24" s="6"/>
      <c r="E24" s="6"/>
      <c r="F24" s="8"/>
    </row>
    <row r="25" spans="1:7">
      <c r="B25" s="4"/>
      <c r="C25" s="5"/>
      <c r="D25" s="6"/>
      <c r="E25" s="6"/>
      <c r="F25" s="8"/>
    </row>
    <row r="26" spans="1:7">
      <c r="B26" s="4"/>
      <c r="C26" s="5"/>
      <c r="D26" s="6"/>
      <c r="E26" s="6"/>
      <c r="F26" s="8"/>
    </row>
    <row r="27" spans="1:7">
      <c r="B27" s="4"/>
      <c r="C27" s="5"/>
      <c r="D27" s="6"/>
      <c r="E27" s="8"/>
      <c r="F27" s="1"/>
    </row>
    <row r="28" spans="1:7">
      <c r="B28" s="193" t="s">
        <v>21</v>
      </c>
      <c r="C28" s="5"/>
      <c r="D28" s="540"/>
      <c r="E28" s="8"/>
      <c r="F28" s="1"/>
    </row>
    <row r="29" spans="1:7">
      <c r="B29" s="4"/>
      <c r="C29" s="5"/>
      <c r="D29" s="6"/>
      <c r="E29" s="8"/>
      <c r="F29" s="1"/>
    </row>
    <row r="30" spans="1:7">
      <c r="B30" s="4"/>
      <c r="C30" s="5"/>
      <c r="D30" s="6"/>
      <c r="E30" s="8"/>
      <c r="F30" s="1"/>
    </row>
    <row r="31" spans="1:7">
      <c r="B31" s="4"/>
      <c r="C31" s="5"/>
      <c r="D31" s="6"/>
      <c r="E31" s="8"/>
      <c r="F31" s="1"/>
    </row>
    <row r="32" spans="1:7">
      <c r="B32" s="4"/>
      <c r="C32" s="6"/>
      <c r="D32" s="6"/>
      <c r="E32" s="8"/>
      <c r="F32" s="1"/>
    </row>
    <row r="33" spans="2:6">
      <c r="B33" s="4"/>
      <c r="C33" s="6"/>
      <c r="D33" s="6"/>
      <c r="E33" s="8"/>
      <c r="F33" s="1"/>
    </row>
    <row r="34" spans="2:6">
      <c r="B34" s="4"/>
      <c r="C34" s="6"/>
      <c r="D34" s="6"/>
      <c r="E34" s="8"/>
      <c r="F34" s="1"/>
    </row>
    <row r="35" spans="2:6">
      <c r="B35" s="4"/>
      <c r="C35" s="6"/>
      <c r="D35" s="6"/>
      <c r="E35" s="8"/>
      <c r="F35" s="1"/>
    </row>
    <row r="36" spans="2:6">
      <c r="B36" s="4"/>
      <c r="C36" s="6"/>
      <c r="D36" s="6"/>
      <c r="E36" s="8"/>
      <c r="F36" s="1"/>
    </row>
    <row r="37" spans="2:6">
      <c r="B37" s="4"/>
      <c r="C37" s="6"/>
      <c r="D37" s="6"/>
      <c r="E37" s="8"/>
      <c r="F37" s="1"/>
    </row>
    <row r="38" spans="2:6">
      <c r="B38" s="4"/>
      <c r="C38" s="6"/>
      <c r="D38" s="6"/>
      <c r="E38" s="8"/>
      <c r="F38" s="1"/>
    </row>
    <row r="39" spans="2:6">
      <c r="B39" s="4"/>
      <c r="C39" s="6"/>
      <c r="D39" s="6"/>
      <c r="E39" s="8"/>
      <c r="F39" s="1"/>
    </row>
    <row r="40" spans="2:6">
      <c r="B40" s="4"/>
      <c r="C40" s="6"/>
      <c r="D40" s="6"/>
      <c r="E40" s="8"/>
      <c r="F40" s="1"/>
    </row>
    <row r="41" spans="2:6">
      <c r="B41" s="4"/>
      <c r="C41" s="6"/>
      <c r="D41" s="6"/>
      <c r="E41" s="8"/>
      <c r="F41" s="1"/>
    </row>
    <row r="42" spans="2:6">
      <c r="B42" s="4"/>
      <c r="C42" s="6"/>
      <c r="D42" s="6"/>
      <c r="E42" s="8"/>
      <c r="F42" s="1"/>
    </row>
    <row r="43" spans="2:6">
      <c r="B43" s="4"/>
      <c r="C43" s="6"/>
      <c r="D43" s="6"/>
      <c r="E43" s="8"/>
      <c r="F43" s="1"/>
    </row>
    <row r="44" spans="2:6">
      <c r="B44" s="4"/>
      <c r="C44" s="6"/>
      <c r="D44" s="6"/>
      <c r="E44" s="8"/>
      <c r="F44" s="1"/>
    </row>
    <row r="45" spans="2:6">
      <c r="B45" s="4"/>
      <c r="C45" s="6"/>
      <c r="D45" s="6"/>
      <c r="E45" s="8"/>
      <c r="F45" s="1"/>
    </row>
    <row r="46" spans="2:6">
      <c r="B46" s="4"/>
      <c r="C46" s="6"/>
      <c r="D46" s="6"/>
      <c r="E46" s="8"/>
      <c r="F46" s="1"/>
    </row>
    <row r="47" spans="2:6">
      <c r="B47" s="4"/>
      <c r="C47" s="6"/>
      <c r="D47" s="6"/>
      <c r="E47" s="8"/>
      <c r="F47" s="1"/>
    </row>
    <row r="48" spans="2:6">
      <c r="B48" s="4"/>
      <c r="C48" s="6"/>
      <c r="D48" s="6"/>
      <c r="E48" s="8"/>
      <c r="F48" s="1"/>
    </row>
    <row r="49" spans="2:6">
      <c r="B49" s="4"/>
      <c r="C49" s="5"/>
      <c r="D49" s="6"/>
      <c r="E49" s="8"/>
      <c r="F49" s="1"/>
    </row>
    <row r="50" spans="2:6">
      <c r="B50" s="4"/>
      <c r="C50" s="5"/>
      <c r="D50" s="6"/>
      <c r="E50" s="8"/>
      <c r="F50" s="1"/>
    </row>
    <row r="51" spans="2:6">
      <c r="B51" s="4"/>
      <c r="C51" s="5"/>
      <c r="D51" s="6"/>
      <c r="E51" s="8"/>
      <c r="F51" s="1"/>
    </row>
    <row r="52" spans="2:6">
      <c r="B52" s="4"/>
      <c r="C52" s="5"/>
      <c r="D52" s="6"/>
      <c r="E52" s="8"/>
      <c r="F52" s="1"/>
    </row>
    <row r="53" spans="2:6">
      <c r="B53" s="4"/>
      <c r="C53" s="5"/>
      <c r="D53" s="6"/>
      <c r="E53" s="8"/>
      <c r="F53" s="1"/>
    </row>
    <row r="54" spans="2:6">
      <c r="B54" s="4"/>
      <c r="C54" s="5"/>
      <c r="D54" s="6"/>
      <c r="E54" s="8"/>
      <c r="F54" s="1"/>
    </row>
    <row r="55" spans="2:6">
      <c r="B55" s="4"/>
      <c r="C55" s="5"/>
      <c r="D55" s="6"/>
      <c r="E55" s="8"/>
      <c r="F55" s="1"/>
    </row>
    <row r="56" spans="2:6">
      <c r="B56" s="4"/>
      <c r="C56" s="5"/>
      <c r="D56" s="6"/>
      <c r="E56" s="8"/>
      <c r="F56" s="1"/>
    </row>
    <row r="57" spans="2:6">
      <c r="B57" s="4"/>
      <c r="C57" s="5"/>
      <c r="D57" s="6"/>
      <c r="E57" s="8"/>
      <c r="F57" s="1"/>
    </row>
    <row r="58" spans="2:6">
      <c r="B58" s="4"/>
      <c r="C58" s="5"/>
      <c r="D58" s="6"/>
      <c r="E58" s="8"/>
      <c r="F58" s="1"/>
    </row>
    <row r="59" spans="2:6">
      <c r="B59" s="4"/>
      <c r="C59" s="5"/>
      <c r="D59" s="6"/>
      <c r="E59" s="8"/>
      <c r="F59" s="1"/>
    </row>
    <row r="60" spans="2:6">
      <c r="B60" s="193"/>
      <c r="C60" s="5"/>
      <c r="D60" s="540"/>
      <c r="E60" s="8"/>
      <c r="F60" s="1"/>
    </row>
    <row r="61" spans="2:6">
      <c r="B61" s="193"/>
      <c r="C61" s="5"/>
      <c r="D61" s="540"/>
      <c r="E61" s="8"/>
      <c r="F61" s="1"/>
    </row>
    <row r="62" spans="2:6">
      <c r="B62" s="193"/>
      <c r="C62" s="5"/>
      <c r="D62" s="540"/>
      <c r="E62" s="8"/>
      <c r="F62" s="1"/>
    </row>
  </sheetData>
  <mergeCells count="7">
    <mergeCell ref="A7:H7"/>
    <mergeCell ref="A8:H8"/>
    <mergeCell ref="A1:H1"/>
    <mergeCell ref="A2:H2"/>
    <mergeCell ref="A3:H3"/>
    <mergeCell ref="A5:H5"/>
    <mergeCell ref="A6:H6"/>
  </mergeCells>
  <phoneticPr fontId="18" type="noConversion"/>
  <printOptions horizontalCentered="1"/>
  <pageMargins left="0.75" right="0.75" top="1" bottom="1" header="0.5" footer="0.5"/>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O112"/>
  <sheetViews>
    <sheetView topLeftCell="A7" zoomScale="90" zoomScaleNormal="90" zoomScaleSheetLayoutView="100" workbookViewId="0">
      <selection sqref="A1:XFD1048576"/>
    </sheetView>
  </sheetViews>
  <sheetFormatPr defaultColWidth="9.140625" defaultRowHeight="12.75"/>
  <cols>
    <col min="1" max="1" width="5.42578125" style="547" customWidth="1"/>
    <col min="2" max="2" width="4.5703125" style="444" customWidth="1"/>
    <col min="3" max="3" width="35.28515625" style="444" customWidth="1"/>
    <col min="4" max="4" width="8.42578125" style="446" customWidth="1"/>
    <col min="5" max="5" width="10.42578125" style="444" customWidth="1"/>
    <col min="6" max="6" width="16.5703125" style="444" customWidth="1"/>
    <col min="7" max="9" width="15.7109375" style="444" customWidth="1"/>
    <col min="10" max="10" width="13.28515625" style="444" bestFit="1" customWidth="1"/>
    <col min="11" max="11" width="14" style="444" bestFit="1" customWidth="1"/>
    <col min="12" max="12" width="14.85546875" style="444" bestFit="1" customWidth="1"/>
    <col min="13" max="14" width="14.85546875" style="444" customWidth="1"/>
    <col min="15" max="15" width="15.28515625" style="444" customWidth="1"/>
    <col min="16" max="16384" width="9.140625" style="444"/>
  </cols>
  <sheetData>
    <row r="1" spans="1:15">
      <c r="A1" s="578" t="s">
        <v>459</v>
      </c>
      <c r="B1" s="578"/>
      <c r="C1" s="578"/>
      <c r="D1" s="578"/>
      <c r="E1" s="578"/>
      <c r="F1" s="578"/>
      <c r="G1" s="578"/>
      <c r="H1" s="578"/>
      <c r="I1" s="578"/>
      <c r="J1" s="578"/>
    </row>
    <row r="2" spans="1:15">
      <c r="A2" s="578" t="s">
        <v>1038</v>
      </c>
      <c r="B2" s="578"/>
      <c r="C2" s="578"/>
      <c r="D2" s="578"/>
      <c r="E2" s="578"/>
      <c r="F2" s="578"/>
      <c r="G2" s="578"/>
      <c r="H2" s="578"/>
      <c r="I2" s="578"/>
      <c r="J2" s="578"/>
    </row>
    <row r="3" spans="1:15">
      <c r="A3" s="578" t="str">
        <f>'Title Page'!A10</f>
        <v>FOR THE TWELVE MONTHS ENDED DECEMBER 31, 2023</v>
      </c>
      <c r="B3" s="578"/>
      <c r="C3" s="578"/>
      <c r="D3" s="578"/>
      <c r="E3" s="578"/>
      <c r="F3" s="578"/>
      <c r="G3" s="578"/>
      <c r="H3" s="578"/>
      <c r="I3" s="578"/>
      <c r="J3" s="578"/>
    </row>
    <row r="4" spans="1:15">
      <c r="A4" s="580"/>
      <c r="B4" s="580"/>
      <c r="C4" s="580"/>
      <c r="D4" s="580"/>
      <c r="E4" s="580"/>
      <c r="F4" s="580"/>
      <c r="G4" s="580"/>
    </row>
    <row r="5" spans="1:15">
      <c r="A5" s="577" t="s">
        <v>32</v>
      </c>
      <c r="B5" s="577"/>
      <c r="C5" s="577"/>
      <c r="D5" s="577"/>
      <c r="E5" s="577"/>
      <c r="F5" s="577"/>
      <c r="G5" s="577"/>
      <c r="H5" s="577"/>
      <c r="I5" s="577"/>
      <c r="J5" s="577"/>
      <c r="K5" s="445"/>
      <c r="L5" s="445"/>
      <c r="M5" s="445"/>
      <c r="N5" s="445"/>
      <c r="O5" s="445"/>
    </row>
    <row r="6" spans="1:15">
      <c r="A6" s="577" t="s">
        <v>316</v>
      </c>
      <c r="B6" s="577"/>
      <c r="C6" s="577"/>
      <c r="D6" s="577"/>
      <c r="E6" s="577"/>
      <c r="F6" s="577"/>
      <c r="G6" s="577"/>
      <c r="H6" s="577"/>
      <c r="I6" s="577"/>
      <c r="J6" s="577"/>
      <c r="K6" s="445"/>
      <c r="L6" s="445"/>
      <c r="M6" s="445"/>
      <c r="N6" s="445"/>
      <c r="O6" s="445"/>
    </row>
    <row r="7" spans="1:15">
      <c r="A7" s="581" t="s">
        <v>885</v>
      </c>
      <c r="B7" s="581"/>
      <c r="C7" s="581"/>
      <c r="D7" s="581"/>
      <c r="E7" s="581"/>
      <c r="F7" s="581"/>
      <c r="G7" s="581"/>
      <c r="H7" s="581"/>
      <c r="I7" s="581"/>
      <c r="J7" s="581"/>
      <c r="K7" s="445"/>
      <c r="L7" s="445"/>
      <c r="M7" s="445"/>
      <c r="N7" s="445"/>
      <c r="O7" s="445"/>
    </row>
    <row r="8" spans="1:15">
      <c r="C8" s="546"/>
      <c r="D8" s="546"/>
      <c r="E8" s="546"/>
      <c r="F8" s="546"/>
      <c r="G8" s="546"/>
      <c r="H8" s="546"/>
    </row>
    <row r="9" spans="1:15">
      <c r="C9" s="577"/>
      <c r="D9" s="577"/>
      <c r="E9" s="577"/>
      <c r="F9" s="577"/>
      <c r="G9" s="577"/>
      <c r="H9" s="546"/>
    </row>
    <row r="10" spans="1:15">
      <c r="C10" s="577"/>
      <c r="D10" s="577"/>
      <c r="E10" s="577"/>
      <c r="F10" s="577"/>
      <c r="G10" s="577"/>
      <c r="H10" s="546"/>
    </row>
    <row r="11" spans="1:15">
      <c r="A11" s="547">
        <v>1</v>
      </c>
      <c r="B11" s="445" t="s">
        <v>751</v>
      </c>
      <c r="C11" s="445"/>
      <c r="H11" s="546"/>
      <c r="I11" s="546"/>
      <c r="J11" s="546"/>
      <c r="K11" s="546"/>
      <c r="L11" s="546"/>
      <c r="M11" s="546"/>
      <c r="N11" s="546"/>
      <c r="O11" s="546"/>
    </row>
    <row r="12" spans="1:15">
      <c r="A12" s="547">
        <f t="shared" ref="A12:A60" si="0">A11+1</f>
        <v>2</v>
      </c>
      <c r="C12" s="546"/>
      <c r="D12" s="447"/>
      <c r="E12" s="546"/>
      <c r="F12" s="546"/>
      <c r="G12" s="448" t="s">
        <v>925</v>
      </c>
      <c r="H12" s="448" t="s">
        <v>926</v>
      </c>
      <c r="I12" s="448" t="s">
        <v>469</v>
      </c>
      <c r="J12" s="546"/>
      <c r="K12" s="546"/>
      <c r="L12" s="546"/>
    </row>
    <row r="13" spans="1:15" ht="45" customHeight="1">
      <c r="A13" s="547">
        <f t="shared" si="0"/>
        <v>3</v>
      </c>
      <c r="C13" s="387" t="s">
        <v>33</v>
      </c>
      <c r="D13" s="383" t="s">
        <v>34</v>
      </c>
      <c r="E13" s="387" t="s">
        <v>35</v>
      </c>
      <c r="F13" s="449" t="s">
        <v>886</v>
      </c>
      <c r="G13" s="450" t="s">
        <v>985</v>
      </c>
      <c r="H13" s="450" t="s">
        <v>986</v>
      </c>
      <c r="I13" s="450" t="s">
        <v>127</v>
      </c>
      <c r="J13" s="451"/>
      <c r="K13" s="451"/>
      <c r="L13" s="451"/>
    </row>
    <row r="14" spans="1:15" ht="12.75" customHeight="1">
      <c r="A14" s="452">
        <f>A13+1</f>
        <v>4</v>
      </c>
      <c r="C14" s="453"/>
      <c r="D14" s="68"/>
      <c r="E14" s="69"/>
      <c r="F14" s="70"/>
      <c r="G14" s="70">
        <f>($F14 *0.019)</f>
        <v>0</v>
      </c>
      <c r="H14" s="70">
        <f>($F14 *0.019)</f>
        <v>0</v>
      </c>
      <c r="I14" s="71">
        <f t="shared" ref="I14:I23" si="1">SUM(G14:H14)</f>
        <v>0</v>
      </c>
      <c r="J14" s="70"/>
      <c r="K14" s="70"/>
      <c r="L14" s="70"/>
    </row>
    <row r="15" spans="1:15" ht="12.75" customHeight="1">
      <c r="A15" s="452">
        <f t="shared" ref="A15:A36" si="2">A14+1</f>
        <v>5</v>
      </c>
      <c r="C15" s="453"/>
      <c r="D15" s="68"/>
      <c r="E15" s="69"/>
      <c r="F15" s="70"/>
      <c r="G15" s="70">
        <f>($F15 *0.017)</f>
        <v>0</v>
      </c>
      <c r="H15" s="70">
        <f>($F15 *0.017)</f>
        <v>0</v>
      </c>
      <c r="I15" s="71">
        <f t="shared" si="1"/>
        <v>0</v>
      </c>
      <c r="J15" s="70"/>
      <c r="K15" s="70"/>
      <c r="L15" s="70"/>
    </row>
    <row r="16" spans="1:15" ht="12.75" customHeight="1">
      <c r="A16" s="452">
        <f t="shared" si="2"/>
        <v>6</v>
      </c>
      <c r="C16" s="453"/>
      <c r="D16" s="68"/>
      <c r="E16" s="69"/>
      <c r="F16" s="70"/>
      <c r="G16" s="70">
        <f>($F16 *0.0277)</f>
        <v>0</v>
      </c>
      <c r="H16" s="70">
        <f>($F16 *0.0277)</f>
        <v>0</v>
      </c>
      <c r="I16" s="71">
        <f t="shared" si="1"/>
        <v>0</v>
      </c>
      <c r="J16" s="70"/>
      <c r="K16" s="70"/>
      <c r="L16" s="70"/>
    </row>
    <row r="17" spans="1:14" ht="12.75" customHeight="1">
      <c r="A17" s="452">
        <f t="shared" si="2"/>
        <v>7</v>
      </c>
      <c r="C17" s="453"/>
      <c r="D17" s="68"/>
      <c r="E17" s="69"/>
      <c r="F17" s="70"/>
      <c r="G17" s="70">
        <f>($F17 *0.0225)</f>
        <v>0</v>
      </c>
      <c r="H17" s="70">
        <f>($F17 *0.0225)</f>
        <v>0</v>
      </c>
      <c r="I17" s="71">
        <f t="shared" si="1"/>
        <v>0</v>
      </c>
      <c r="J17" s="70"/>
      <c r="K17" s="70"/>
      <c r="L17" s="70"/>
    </row>
    <row r="18" spans="1:14" ht="12.75" customHeight="1">
      <c r="A18" s="452">
        <f t="shared" si="2"/>
        <v>8</v>
      </c>
      <c r="C18" s="453"/>
      <c r="D18" s="68"/>
      <c r="E18" s="69"/>
      <c r="F18" s="70"/>
      <c r="G18" s="70">
        <f>($F18 *0.0308)</f>
        <v>0</v>
      </c>
      <c r="H18" s="70">
        <f>($F18 *0.0308)</f>
        <v>0</v>
      </c>
      <c r="I18" s="71">
        <f t="shared" si="1"/>
        <v>0</v>
      </c>
      <c r="J18" s="70"/>
      <c r="K18" s="70"/>
      <c r="L18" s="70"/>
    </row>
    <row r="19" spans="1:14" ht="12.75" customHeight="1">
      <c r="A19" s="452">
        <f t="shared" si="2"/>
        <v>9</v>
      </c>
      <c r="C19" s="453"/>
      <c r="D19" s="68"/>
      <c r="E19" s="69"/>
      <c r="F19" s="70"/>
      <c r="G19" s="70">
        <f>($F19 *0.0298)</f>
        <v>0</v>
      </c>
      <c r="H19" s="70">
        <f>($F19 *0.0298)</f>
        <v>0</v>
      </c>
      <c r="I19" s="71">
        <f t="shared" si="1"/>
        <v>0</v>
      </c>
      <c r="J19" s="70"/>
      <c r="K19" s="70"/>
      <c r="L19" s="70"/>
    </row>
    <row r="20" spans="1:14" ht="12.75" customHeight="1">
      <c r="A20" s="452">
        <f t="shared" si="2"/>
        <v>10</v>
      </c>
      <c r="C20" s="453"/>
      <c r="D20" s="68"/>
      <c r="E20" s="69"/>
      <c r="F20" s="70"/>
      <c r="G20" s="70">
        <f>($F20 *0.0195)</f>
        <v>0</v>
      </c>
      <c r="H20" s="70">
        <f>($F20 *0.0195)</f>
        <v>0</v>
      </c>
      <c r="I20" s="71">
        <f t="shared" si="1"/>
        <v>0</v>
      </c>
      <c r="J20" s="70"/>
      <c r="K20" s="70"/>
      <c r="L20" s="70"/>
    </row>
    <row r="21" spans="1:14" ht="12.75" customHeight="1">
      <c r="A21" s="452">
        <f t="shared" si="2"/>
        <v>11</v>
      </c>
      <c r="C21" s="453"/>
      <c r="D21" s="68"/>
      <c r="E21" s="69"/>
      <c r="F21" s="70"/>
      <c r="G21" s="70">
        <f>($F21 *0.0226)</f>
        <v>0</v>
      </c>
      <c r="H21" s="70">
        <f>($F21 *0.0226)</f>
        <v>0</v>
      </c>
      <c r="I21" s="71">
        <f t="shared" si="1"/>
        <v>0</v>
      </c>
      <c r="J21" s="70"/>
      <c r="K21" s="70"/>
      <c r="L21" s="70"/>
    </row>
    <row r="22" spans="1:14" ht="12.75" customHeight="1">
      <c r="A22" s="452">
        <f t="shared" si="2"/>
        <v>12</v>
      </c>
      <c r="C22" s="453"/>
      <c r="D22" s="68"/>
      <c r="E22" s="69"/>
      <c r="F22" s="70"/>
      <c r="G22" s="70">
        <f>($F22 *0.0258)</f>
        <v>0</v>
      </c>
      <c r="H22" s="70">
        <f>($F22 *0.0258)</f>
        <v>0</v>
      </c>
      <c r="I22" s="71">
        <f t="shared" si="1"/>
        <v>0</v>
      </c>
      <c r="J22" s="70"/>
      <c r="K22" s="70"/>
      <c r="L22" s="70"/>
    </row>
    <row r="23" spans="1:14" ht="12.75" customHeight="1">
      <c r="A23" s="452">
        <f t="shared" si="2"/>
        <v>13</v>
      </c>
      <c r="C23" s="453"/>
      <c r="D23" s="67"/>
      <c r="E23" s="69"/>
      <c r="F23" s="72"/>
      <c r="G23" s="72">
        <f>($F23 *0.079)</f>
        <v>0</v>
      </c>
      <c r="H23" s="72">
        <f>($F23 *0.079)</f>
        <v>0</v>
      </c>
      <c r="I23" s="74">
        <f t="shared" si="1"/>
        <v>0</v>
      </c>
      <c r="J23" s="70"/>
      <c r="K23" s="70"/>
      <c r="L23" s="70"/>
    </row>
    <row r="24" spans="1:14">
      <c r="A24" s="452">
        <f t="shared" si="2"/>
        <v>14</v>
      </c>
      <c r="C24" s="47" t="s">
        <v>469</v>
      </c>
      <c r="D24" s="45"/>
      <c r="E24" s="46"/>
      <c r="F24" s="73">
        <f>SUM(F14:F23)</f>
        <v>0</v>
      </c>
      <c r="G24" s="73">
        <f>SUM(G14:G23)</f>
        <v>0</v>
      </c>
      <c r="H24" s="73">
        <f>SUM(H14:H23)</f>
        <v>0</v>
      </c>
      <c r="I24" s="73">
        <f>SUM(I14:I23)</f>
        <v>0</v>
      </c>
      <c r="J24" s="71"/>
      <c r="K24" s="71"/>
      <c r="L24" s="71"/>
    </row>
    <row r="25" spans="1:14">
      <c r="A25" s="452">
        <f t="shared" si="2"/>
        <v>15</v>
      </c>
      <c r="C25" s="35"/>
      <c r="D25" s="45"/>
      <c r="E25" s="46"/>
      <c r="F25" s="48"/>
      <c r="G25" s="49"/>
      <c r="H25" s="49"/>
      <c r="I25" s="49"/>
    </row>
    <row r="26" spans="1:14">
      <c r="A26" s="452">
        <f t="shared" si="2"/>
        <v>16</v>
      </c>
      <c r="C26" s="35"/>
      <c r="D26" s="45"/>
      <c r="E26" s="46"/>
      <c r="F26" s="48"/>
      <c r="G26" s="49"/>
      <c r="H26" s="49"/>
      <c r="I26" s="49"/>
    </row>
    <row r="27" spans="1:14">
      <c r="A27" s="452">
        <f t="shared" si="2"/>
        <v>17</v>
      </c>
      <c r="B27" s="445" t="s">
        <v>749</v>
      </c>
      <c r="C27" s="35"/>
      <c r="D27" s="45"/>
      <c r="E27" s="46"/>
      <c r="F27" s="48"/>
      <c r="G27" s="49"/>
      <c r="H27" s="49"/>
      <c r="I27" s="49"/>
    </row>
    <row r="28" spans="1:14">
      <c r="A28" s="452">
        <f t="shared" si="2"/>
        <v>18</v>
      </c>
      <c r="C28" s="35"/>
      <c r="D28" s="45"/>
      <c r="E28" s="46"/>
      <c r="F28" s="48"/>
      <c r="G28" s="49"/>
      <c r="H28" s="49"/>
      <c r="I28" s="49"/>
      <c r="J28" s="454"/>
      <c r="K28" s="454"/>
      <c r="L28" s="454"/>
      <c r="M28" s="454"/>
      <c r="N28" s="454"/>
    </row>
    <row r="29" spans="1:14" ht="38.25">
      <c r="A29" s="452">
        <f t="shared" si="2"/>
        <v>19</v>
      </c>
      <c r="C29" s="35"/>
      <c r="D29" s="45"/>
      <c r="E29" s="50" t="s">
        <v>36</v>
      </c>
      <c r="F29" s="51" t="s">
        <v>748</v>
      </c>
      <c r="G29" s="51" t="s">
        <v>127</v>
      </c>
      <c r="H29" s="51" t="s">
        <v>747</v>
      </c>
      <c r="I29" s="49"/>
      <c r="J29" s="454"/>
      <c r="K29" s="454"/>
      <c r="L29" s="454"/>
      <c r="M29" s="454"/>
      <c r="N29" s="454"/>
    </row>
    <row r="30" spans="1:14">
      <c r="A30" s="452">
        <f t="shared" si="2"/>
        <v>20</v>
      </c>
      <c r="C30" s="35"/>
      <c r="D30" s="45"/>
      <c r="E30" s="48"/>
      <c r="F30" s="96"/>
      <c r="G30" s="112"/>
      <c r="H30" s="96"/>
      <c r="I30" s="49"/>
      <c r="J30" s="454"/>
      <c r="K30" s="454"/>
      <c r="L30" s="454"/>
      <c r="M30" s="454"/>
      <c r="N30" s="454"/>
    </row>
    <row r="31" spans="1:14">
      <c r="A31" s="452">
        <f t="shared" si="2"/>
        <v>21</v>
      </c>
      <c r="C31" s="35" t="s">
        <v>469</v>
      </c>
      <c r="D31" s="45"/>
      <c r="E31" s="46"/>
      <c r="F31" s="52">
        <f>SUM(F30:F30)</f>
        <v>0</v>
      </c>
      <c r="G31" s="104">
        <f>SUM(G30:G30)</f>
        <v>0</v>
      </c>
      <c r="H31" s="97">
        <f>SUM(H30:H30)</f>
        <v>0</v>
      </c>
      <c r="I31" s="49"/>
      <c r="J31" s="454"/>
      <c r="K31" s="454"/>
      <c r="L31" s="454"/>
      <c r="M31" s="454"/>
      <c r="N31" s="454"/>
    </row>
    <row r="32" spans="1:14">
      <c r="A32" s="452">
        <f t="shared" si="2"/>
        <v>22</v>
      </c>
      <c r="C32" s="35"/>
      <c r="D32" s="45"/>
      <c r="E32" s="46"/>
      <c r="F32" s="53"/>
      <c r="G32" s="53"/>
      <c r="H32" s="54"/>
      <c r="I32" s="49"/>
      <c r="J32" s="454"/>
      <c r="K32" s="454"/>
      <c r="L32" s="454"/>
      <c r="M32" s="454"/>
      <c r="N32" s="454"/>
    </row>
    <row r="33" spans="1:14">
      <c r="A33" s="452">
        <f t="shared" si="2"/>
        <v>23</v>
      </c>
      <c r="C33" s="35"/>
      <c r="D33" s="45"/>
      <c r="E33" s="46"/>
      <c r="F33" s="53"/>
      <c r="G33" s="53"/>
      <c r="H33" s="54"/>
      <c r="I33" s="49"/>
      <c r="J33" s="454"/>
      <c r="K33" s="454"/>
      <c r="L33" s="454"/>
      <c r="M33" s="454"/>
      <c r="N33" s="454"/>
    </row>
    <row r="34" spans="1:14">
      <c r="A34" s="452">
        <f t="shared" si="2"/>
        <v>24</v>
      </c>
      <c r="C34" s="35"/>
      <c r="D34" s="45"/>
      <c r="E34" s="46"/>
      <c r="F34" s="48"/>
      <c r="G34" s="49"/>
      <c r="H34" s="49"/>
      <c r="I34" s="49"/>
      <c r="J34" s="454"/>
      <c r="K34" s="454"/>
      <c r="L34" s="454"/>
      <c r="M34" s="454"/>
      <c r="N34" s="454"/>
    </row>
    <row r="35" spans="1:14">
      <c r="A35" s="452">
        <f t="shared" si="2"/>
        <v>25</v>
      </c>
      <c r="B35" s="445" t="s">
        <v>445</v>
      </c>
      <c r="C35" s="35"/>
      <c r="D35" s="45"/>
      <c r="E35" s="46"/>
      <c r="F35" s="48"/>
      <c r="G35" s="49"/>
      <c r="H35" s="49"/>
      <c r="I35" s="49"/>
      <c r="J35" s="454"/>
      <c r="K35" s="454"/>
      <c r="L35" s="454"/>
      <c r="M35" s="454"/>
      <c r="N35" s="454"/>
    </row>
    <row r="36" spans="1:14">
      <c r="A36" s="452">
        <f t="shared" si="2"/>
        <v>26</v>
      </c>
      <c r="C36" s="35"/>
      <c r="D36" s="45"/>
      <c r="E36" s="46"/>
      <c r="F36" s="48"/>
      <c r="G36" s="49"/>
      <c r="H36" s="49"/>
      <c r="I36" s="49"/>
      <c r="J36" s="454"/>
      <c r="K36" s="454"/>
      <c r="L36" s="454"/>
      <c r="M36" s="454"/>
      <c r="N36" s="454"/>
    </row>
    <row r="37" spans="1:14" ht="13.5" thickBot="1">
      <c r="A37" s="452">
        <f t="shared" si="0"/>
        <v>27</v>
      </c>
      <c r="C37" s="55" t="s">
        <v>33</v>
      </c>
      <c r="D37" s="55" t="s">
        <v>36</v>
      </c>
      <c r="E37" s="56" t="s">
        <v>193</v>
      </c>
      <c r="F37" s="48"/>
      <c r="G37" s="49"/>
      <c r="H37" s="49"/>
      <c r="I37" s="49"/>
      <c r="J37" s="454"/>
      <c r="K37" s="454"/>
      <c r="L37" s="454"/>
      <c r="M37" s="454"/>
      <c r="N37" s="454"/>
    </row>
    <row r="38" spans="1:14">
      <c r="A38" s="452">
        <f t="shared" si="0"/>
        <v>28</v>
      </c>
      <c r="C38" s="35"/>
      <c r="D38" s="45"/>
      <c r="E38" s="113">
        <v>0</v>
      </c>
      <c r="F38" s="48"/>
      <c r="G38" s="49"/>
      <c r="H38" s="49"/>
      <c r="I38" s="49"/>
      <c r="J38" s="454"/>
      <c r="K38" s="454"/>
      <c r="L38" s="454"/>
      <c r="M38" s="454"/>
      <c r="N38" s="454"/>
    </row>
    <row r="39" spans="1:14">
      <c r="A39" s="452">
        <f t="shared" si="0"/>
        <v>29</v>
      </c>
      <c r="C39" s="35"/>
      <c r="D39" s="45"/>
      <c r="E39" s="46"/>
      <c r="F39" s="48"/>
      <c r="G39" s="49"/>
      <c r="H39" s="49"/>
      <c r="I39" s="49"/>
      <c r="J39" s="454"/>
      <c r="K39" s="454"/>
      <c r="L39" s="454"/>
      <c r="M39" s="454"/>
      <c r="N39" s="454"/>
    </row>
    <row r="40" spans="1:14">
      <c r="A40" s="452">
        <f t="shared" si="0"/>
        <v>30</v>
      </c>
      <c r="C40" s="455" t="s">
        <v>469</v>
      </c>
      <c r="D40" s="45"/>
      <c r="E40" s="57">
        <f>SUM(E38:E38)</f>
        <v>0</v>
      </c>
      <c r="F40" s="48"/>
      <c r="G40" s="49"/>
      <c r="H40" s="49"/>
      <c r="I40" s="49"/>
      <c r="J40" s="454"/>
      <c r="K40" s="454"/>
      <c r="L40" s="454"/>
      <c r="M40" s="454"/>
      <c r="N40" s="454"/>
    </row>
    <row r="41" spans="1:14">
      <c r="A41" s="452">
        <f t="shared" si="0"/>
        <v>31</v>
      </c>
      <c r="C41" s="455"/>
      <c r="D41" s="45"/>
      <c r="E41" s="58"/>
      <c r="F41" s="48"/>
      <c r="G41" s="49"/>
      <c r="H41" s="49"/>
      <c r="I41" s="49"/>
      <c r="J41" s="454"/>
      <c r="K41" s="454"/>
      <c r="L41" s="454"/>
      <c r="M41" s="454"/>
      <c r="N41" s="454"/>
    </row>
    <row r="42" spans="1:14">
      <c r="A42" s="452">
        <f t="shared" si="0"/>
        <v>32</v>
      </c>
      <c r="C42" s="455"/>
      <c r="D42" s="45"/>
      <c r="E42" s="58"/>
      <c r="F42" s="48"/>
      <c r="G42" s="49"/>
      <c r="H42" s="49"/>
      <c r="I42" s="49"/>
      <c r="J42" s="454"/>
      <c r="K42" s="454"/>
      <c r="L42" s="454"/>
      <c r="M42" s="454"/>
      <c r="N42" s="454"/>
    </row>
    <row r="43" spans="1:14">
      <c r="A43" s="452">
        <f t="shared" si="0"/>
        <v>33</v>
      </c>
      <c r="B43" s="445" t="s">
        <v>746</v>
      </c>
      <c r="C43" s="455"/>
      <c r="D43" s="45"/>
      <c r="E43" s="58"/>
      <c r="F43" s="48"/>
      <c r="G43" s="49"/>
      <c r="H43" s="49"/>
      <c r="I43" s="49"/>
      <c r="M43" s="454"/>
      <c r="N43" s="454"/>
    </row>
    <row r="44" spans="1:14">
      <c r="A44" s="452">
        <f t="shared" si="0"/>
        <v>34</v>
      </c>
      <c r="B44" s="445"/>
      <c r="C44" s="455"/>
      <c r="D44" s="45"/>
      <c r="E44" s="58"/>
      <c r="F44" s="48"/>
      <c r="G44" s="49"/>
      <c r="H44" s="49"/>
      <c r="I44" s="49"/>
      <c r="M44" s="454"/>
      <c r="N44" s="454"/>
    </row>
    <row r="45" spans="1:14">
      <c r="A45" s="452">
        <f t="shared" si="0"/>
        <v>35</v>
      </c>
      <c r="B45" s="445"/>
      <c r="C45" s="455"/>
      <c r="D45" s="45"/>
      <c r="E45" s="58"/>
      <c r="F45" s="48"/>
      <c r="G45" s="49"/>
      <c r="H45" s="49"/>
      <c r="I45" s="49"/>
      <c r="J45" s="454"/>
      <c r="K45" s="454"/>
      <c r="M45" s="456"/>
      <c r="N45" s="456"/>
    </row>
    <row r="46" spans="1:14">
      <c r="A46" s="452">
        <f t="shared" si="0"/>
        <v>36</v>
      </c>
      <c r="B46" s="445"/>
      <c r="C46" s="455"/>
      <c r="D46" s="45"/>
      <c r="E46" s="457">
        <f>H31+E40</f>
        <v>0</v>
      </c>
      <c r="F46" s="458" t="s">
        <v>22</v>
      </c>
      <c r="G46" s="49"/>
      <c r="H46" s="49"/>
      <c r="I46" s="49"/>
      <c r="J46" s="454"/>
      <c r="K46" s="454"/>
      <c r="L46" s="456"/>
      <c r="M46" s="456"/>
      <c r="N46" s="456"/>
    </row>
    <row r="47" spans="1:14">
      <c r="A47" s="452">
        <f t="shared" si="0"/>
        <v>37</v>
      </c>
      <c r="B47" s="445"/>
      <c r="C47" s="455"/>
      <c r="D47" s="45"/>
      <c r="E47" s="58"/>
      <c r="F47" s="48"/>
      <c r="G47" s="49"/>
      <c r="H47" s="49"/>
      <c r="I47" s="49"/>
      <c r="J47" s="454"/>
      <c r="K47" s="454"/>
      <c r="L47" s="456"/>
      <c r="M47" s="456"/>
      <c r="N47" s="456"/>
    </row>
    <row r="48" spans="1:14">
      <c r="A48" s="452">
        <f t="shared" si="0"/>
        <v>38</v>
      </c>
      <c r="C48" s="455"/>
      <c r="D48" s="45"/>
      <c r="E48" s="58"/>
      <c r="F48" s="48"/>
      <c r="G48" s="49"/>
      <c r="H48" s="49"/>
      <c r="I48" s="49"/>
      <c r="J48" s="454"/>
      <c r="K48" s="454"/>
      <c r="L48" s="454"/>
      <c r="M48" s="454"/>
      <c r="N48" s="454"/>
    </row>
    <row r="49" spans="1:14">
      <c r="A49" s="452">
        <f t="shared" si="0"/>
        <v>39</v>
      </c>
      <c r="B49" s="445" t="s">
        <v>1089</v>
      </c>
      <c r="C49" s="35"/>
      <c r="D49" s="45"/>
      <c r="E49" s="46"/>
      <c r="F49" s="48"/>
      <c r="G49" s="58"/>
      <c r="H49" s="49"/>
      <c r="I49" s="49"/>
      <c r="J49" s="454"/>
      <c r="K49" s="454"/>
      <c r="L49" s="454"/>
      <c r="M49" s="454"/>
      <c r="N49" s="454"/>
    </row>
    <row r="50" spans="1:14">
      <c r="A50" s="452">
        <f t="shared" si="0"/>
        <v>40</v>
      </c>
      <c r="C50" s="35"/>
      <c r="D50" s="45"/>
      <c r="E50" s="46"/>
      <c r="F50" s="48"/>
      <c r="G50" s="49"/>
      <c r="H50" s="49"/>
      <c r="I50" s="49"/>
      <c r="J50" s="454"/>
      <c r="K50" s="454"/>
      <c r="L50" s="454"/>
      <c r="M50" s="454"/>
      <c r="N50" s="454"/>
    </row>
    <row r="51" spans="1:14" ht="13.5" thickBot="1">
      <c r="A51" s="452">
        <f t="shared" si="0"/>
        <v>41</v>
      </c>
      <c r="C51" s="55" t="s">
        <v>33</v>
      </c>
      <c r="D51" s="55" t="s">
        <v>36</v>
      </c>
      <c r="E51" s="56" t="s">
        <v>193</v>
      </c>
      <c r="F51" s="48"/>
      <c r="G51" s="49"/>
      <c r="H51" s="49"/>
      <c r="I51" s="49"/>
      <c r="J51" s="454"/>
      <c r="K51" s="454"/>
      <c r="L51" s="454"/>
      <c r="M51" s="454"/>
      <c r="N51" s="454"/>
    </row>
    <row r="52" spans="1:14">
      <c r="A52" s="452">
        <f t="shared" si="0"/>
        <v>42</v>
      </c>
      <c r="C52" s="35"/>
      <c r="D52" s="45"/>
      <c r="E52" s="80"/>
      <c r="F52" s="48"/>
      <c r="G52" s="49"/>
      <c r="H52" s="49"/>
      <c r="I52" s="49"/>
      <c r="J52" s="454"/>
      <c r="K52" s="454"/>
      <c r="L52" s="454"/>
      <c r="M52" s="454"/>
      <c r="N52" s="454"/>
    </row>
    <row r="53" spans="1:14">
      <c r="A53" s="452">
        <f t="shared" si="0"/>
        <v>43</v>
      </c>
      <c r="C53" s="35"/>
      <c r="D53" s="45"/>
      <c r="E53" s="80"/>
      <c r="F53" s="48"/>
      <c r="G53" s="49"/>
      <c r="H53" s="49"/>
      <c r="I53" s="49"/>
      <c r="J53" s="454"/>
      <c r="K53" s="454"/>
      <c r="L53" s="454"/>
      <c r="M53" s="454"/>
      <c r="N53" s="454"/>
    </row>
    <row r="54" spans="1:14">
      <c r="A54" s="452">
        <f t="shared" si="0"/>
        <v>44</v>
      </c>
      <c r="C54" s="35"/>
      <c r="D54" s="45"/>
      <c r="E54" s="30"/>
      <c r="F54" s="48"/>
      <c r="G54" s="49"/>
      <c r="H54" s="49"/>
      <c r="I54" s="49"/>
      <c r="J54" s="454"/>
      <c r="K54" s="454"/>
      <c r="L54" s="454"/>
      <c r="M54" s="454"/>
      <c r="N54" s="454"/>
    </row>
    <row r="55" spans="1:14">
      <c r="A55" s="452">
        <f t="shared" si="0"/>
        <v>45</v>
      </c>
      <c r="C55" s="455" t="s">
        <v>469</v>
      </c>
      <c r="D55" s="45"/>
      <c r="E55" s="59">
        <f>SUM(E52:E53)</f>
        <v>0</v>
      </c>
      <c r="F55" s="48"/>
      <c r="G55" s="49"/>
      <c r="H55" s="49"/>
      <c r="I55" s="49"/>
      <c r="J55" s="454"/>
      <c r="K55" s="454"/>
      <c r="L55" s="454"/>
      <c r="M55" s="454"/>
      <c r="N55" s="454"/>
    </row>
    <row r="56" spans="1:14">
      <c r="A56" s="452">
        <f t="shared" si="0"/>
        <v>46</v>
      </c>
      <c r="C56" s="35"/>
      <c r="D56" s="45"/>
      <c r="E56" s="46"/>
      <c r="F56" s="48"/>
      <c r="G56" s="49"/>
      <c r="H56" s="49"/>
      <c r="I56" s="49"/>
      <c r="J56" s="454"/>
      <c r="K56" s="454"/>
      <c r="L56" s="454"/>
      <c r="M56" s="454"/>
      <c r="N56" s="454"/>
    </row>
    <row r="57" spans="1:14">
      <c r="A57" s="452">
        <f t="shared" si="0"/>
        <v>47</v>
      </c>
      <c r="C57" s="455" t="s">
        <v>469</v>
      </c>
      <c r="D57" s="45"/>
      <c r="E57" s="59">
        <f>SUM(E40,E55)</f>
        <v>0</v>
      </c>
      <c r="F57" s="60" t="s">
        <v>23</v>
      </c>
      <c r="G57" s="49"/>
      <c r="H57" s="49"/>
      <c r="I57" s="49"/>
      <c r="J57" s="454"/>
      <c r="K57" s="454"/>
      <c r="L57" s="454"/>
      <c r="M57" s="454"/>
      <c r="N57" s="454"/>
    </row>
    <row r="58" spans="1:14">
      <c r="A58" s="452">
        <f t="shared" si="0"/>
        <v>48</v>
      </c>
      <c r="C58" s="455"/>
      <c r="D58" s="45"/>
      <c r="E58" s="459"/>
      <c r="F58" s="48"/>
      <c r="G58" s="49"/>
      <c r="H58" s="49"/>
      <c r="I58" s="49"/>
      <c r="J58" s="454"/>
      <c r="K58" s="454"/>
      <c r="L58" s="454"/>
      <c r="M58" s="454"/>
      <c r="N58" s="454"/>
    </row>
    <row r="59" spans="1:14">
      <c r="A59" s="452">
        <f t="shared" si="0"/>
        <v>49</v>
      </c>
      <c r="C59" s="455"/>
      <c r="D59" s="45"/>
      <c r="E59" s="459"/>
      <c r="F59" s="48"/>
      <c r="G59" s="49"/>
      <c r="H59" s="49"/>
      <c r="I59" s="49"/>
      <c r="J59" s="454"/>
      <c r="K59" s="454"/>
      <c r="L59" s="454"/>
      <c r="M59" s="454"/>
      <c r="N59" s="454"/>
    </row>
    <row r="60" spans="1:14" ht="28.5" customHeight="1">
      <c r="A60" s="452">
        <f t="shared" si="0"/>
        <v>50</v>
      </c>
      <c r="C60" s="579" t="s">
        <v>1088</v>
      </c>
      <c r="D60" s="579"/>
      <c r="E60" s="579"/>
      <c r="F60" s="579"/>
      <c r="G60" s="579"/>
      <c r="H60" s="579"/>
      <c r="I60" s="579"/>
      <c r="J60" s="454"/>
      <c r="K60" s="454"/>
      <c r="L60" s="454"/>
      <c r="M60" s="454"/>
      <c r="N60" s="454"/>
    </row>
    <row r="61" spans="1:14">
      <c r="A61" s="452"/>
      <c r="C61" s="35"/>
      <c r="D61" s="45"/>
      <c r="E61" s="46"/>
      <c r="F61" s="48"/>
      <c r="G61" s="49"/>
      <c r="H61" s="49"/>
      <c r="I61" s="49"/>
      <c r="J61" s="454"/>
      <c r="K61" s="454"/>
      <c r="L61" s="454"/>
      <c r="M61" s="454"/>
      <c r="N61" s="454"/>
    </row>
    <row r="62" spans="1:14">
      <c r="C62" s="35"/>
      <c r="D62" s="46"/>
      <c r="E62" s="46"/>
      <c r="F62" s="48"/>
      <c r="G62" s="49"/>
      <c r="H62" s="49"/>
      <c r="I62" s="49"/>
      <c r="J62" s="454"/>
      <c r="K62" s="454"/>
      <c r="L62" s="454"/>
      <c r="M62" s="454"/>
      <c r="N62" s="454"/>
    </row>
    <row r="63" spans="1:14">
      <c r="C63" s="61"/>
      <c r="D63" s="46"/>
      <c r="E63" s="46"/>
      <c r="F63" s="48"/>
      <c r="G63" s="49"/>
      <c r="H63" s="49"/>
      <c r="I63" s="49"/>
      <c r="J63" s="454"/>
      <c r="K63" s="454"/>
      <c r="L63" s="454"/>
      <c r="M63" s="454"/>
      <c r="N63" s="454"/>
    </row>
    <row r="64" spans="1:14">
      <c r="C64" s="35"/>
      <c r="D64" s="46"/>
      <c r="E64" s="46"/>
      <c r="F64" s="48"/>
      <c r="G64" s="49"/>
      <c r="H64" s="49"/>
      <c r="I64" s="49"/>
      <c r="J64" s="454"/>
      <c r="K64" s="454"/>
      <c r="L64" s="454"/>
      <c r="M64" s="454"/>
      <c r="N64" s="454"/>
    </row>
    <row r="65" spans="1:14">
      <c r="C65" s="35"/>
      <c r="D65" s="46"/>
      <c r="E65" s="46"/>
      <c r="F65" s="48"/>
      <c r="G65" s="49"/>
      <c r="H65" s="49"/>
      <c r="I65" s="49"/>
      <c r="J65" s="454"/>
      <c r="K65" s="454"/>
      <c r="L65" s="454"/>
      <c r="M65" s="454"/>
      <c r="N65" s="454"/>
    </row>
    <row r="66" spans="1:14">
      <c r="C66" s="35"/>
      <c r="D66" s="46"/>
      <c r="E66" s="46"/>
      <c r="F66" s="48"/>
      <c r="G66" s="49"/>
      <c r="H66" s="49"/>
      <c r="I66" s="49"/>
      <c r="J66" s="454"/>
      <c r="K66" s="454"/>
      <c r="L66" s="454"/>
      <c r="M66" s="454"/>
      <c r="N66" s="454"/>
    </row>
    <row r="67" spans="1:14">
      <c r="C67" s="35"/>
      <c r="D67" s="46"/>
      <c r="E67" s="46"/>
      <c r="F67" s="48"/>
      <c r="G67" s="49"/>
      <c r="H67" s="49"/>
      <c r="I67" s="49"/>
      <c r="J67" s="454"/>
      <c r="K67" s="454"/>
      <c r="L67" s="454"/>
      <c r="M67" s="454"/>
      <c r="N67" s="454"/>
    </row>
    <row r="68" spans="1:14">
      <c r="C68" s="35"/>
      <c r="D68" s="46"/>
      <c r="E68" s="46"/>
      <c r="F68" s="48"/>
      <c r="G68" s="49"/>
      <c r="H68" s="49"/>
      <c r="I68" s="49"/>
      <c r="J68" s="454"/>
      <c r="K68" s="454"/>
      <c r="L68" s="454"/>
      <c r="M68" s="454"/>
      <c r="N68" s="454"/>
    </row>
    <row r="69" spans="1:14">
      <c r="C69" s="35"/>
      <c r="D69" s="46"/>
      <c r="E69" s="46"/>
      <c r="F69" s="48"/>
      <c r="G69" s="49"/>
      <c r="H69" s="49"/>
      <c r="I69" s="49"/>
      <c r="J69" s="454"/>
      <c r="K69" s="454"/>
      <c r="L69" s="454"/>
      <c r="M69" s="454"/>
      <c r="N69" s="454"/>
    </row>
    <row r="70" spans="1:14">
      <c r="C70" s="35"/>
      <c r="D70" s="46"/>
      <c r="E70" s="46"/>
      <c r="F70" s="48"/>
      <c r="G70" s="49"/>
      <c r="H70" s="49"/>
      <c r="I70" s="49"/>
      <c r="J70" s="454"/>
      <c r="K70" s="454"/>
      <c r="L70" s="454"/>
      <c r="M70" s="454"/>
      <c r="N70" s="454"/>
    </row>
    <row r="71" spans="1:14">
      <c r="C71" s="35"/>
      <c r="D71" s="46"/>
      <c r="E71" s="46"/>
      <c r="F71" s="48"/>
      <c r="G71" s="49"/>
      <c r="H71" s="49"/>
      <c r="I71" s="49"/>
      <c r="J71" s="454"/>
      <c r="K71" s="454"/>
      <c r="L71" s="454"/>
      <c r="M71" s="454"/>
      <c r="N71" s="454"/>
    </row>
    <row r="72" spans="1:14">
      <c r="C72" s="35"/>
      <c r="D72" s="46"/>
      <c r="E72" s="46"/>
      <c r="F72" s="48"/>
      <c r="G72" s="49"/>
      <c r="H72" s="49"/>
      <c r="I72" s="49"/>
      <c r="J72" s="454"/>
      <c r="K72" s="454"/>
      <c r="L72" s="454"/>
      <c r="M72" s="454"/>
      <c r="N72" s="454"/>
    </row>
    <row r="73" spans="1:14">
      <c r="C73" s="35"/>
      <c r="D73" s="46"/>
      <c r="E73" s="46"/>
      <c r="F73" s="48"/>
      <c r="G73" s="49"/>
      <c r="H73" s="49"/>
      <c r="I73" s="49"/>
      <c r="J73" s="454"/>
      <c r="K73" s="454"/>
      <c r="L73" s="454"/>
      <c r="M73" s="454"/>
      <c r="N73" s="454"/>
    </row>
    <row r="74" spans="1:14">
      <c r="C74" s="35"/>
      <c r="D74" s="46"/>
      <c r="E74" s="46"/>
      <c r="F74" s="48"/>
      <c r="G74" s="49"/>
      <c r="H74" s="49"/>
      <c r="I74" s="49"/>
      <c r="J74" s="454"/>
      <c r="K74" s="454"/>
      <c r="L74" s="454"/>
      <c r="M74" s="454"/>
      <c r="N74" s="454"/>
    </row>
    <row r="75" spans="1:14">
      <c r="C75" s="35"/>
      <c r="D75" s="46"/>
      <c r="E75" s="46"/>
      <c r="F75" s="48"/>
      <c r="G75" s="49"/>
      <c r="H75" s="49"/>
      <c r="I75" s="49"/>
      <c r="J75" s="454"/>
      <c r="K75" s="454"/>
      <c r="L75" s="454"/>
      <c r="M75" s="454"/>
      <c r="N75" s="454"/>
    </row>
    <row r="76" spans="1:14">
      <c r="D76" s="46"/>
      <c r="E76" s="46"/>
      <c r="F76" s="48"/>
      <c r="G76" s="49"/>
      <c r="H76" s="49"/>
      <c r="I76" s="49"/>
      <c r="J76" s="454"/>
      <c r="K76" s="454"/>
      <c r="L76" s="454"/>
      <c r="M76" s="454"/>
      <c r="N76" s="454"/>
    </row>
    <row r="77" spans="1:14">
      <c r="C77" s="35"/>
      <c r="D77" s="46"/>
      <c r="E77" s="46"/>
      <c r="F77" s="48"/>
      <c r="G77" s="49"/>
      <c r="H77" s="49"/>
      <c r="I77" s="49"/>
      <c r="J77" s="454"/>
      <c r="K77" s="454"/>
      <c r="L77" s="454"/>
      <c r="M77" s="454"/>
      <c r="N77" s="454"/>
    </row>
    <row r="78" spans="1:14">
      <c r="C78" s="35"/>
      <c r="D78" s="46"/>
      <c r="E78" s="46"/>
      <c r="F78" s="48"/>
      <c r="G78" s="49"/>
      <c r="H78" s="49"/>
      <c r="I78" s="49"/>
      <c r="J78" s="454"/>
      <c r="K78" s="454"/>
      <c r="L78" s="454"/>
      <c r="M78" s="454"/>
      <c r="N78" s="454"/>
    </row>
    <row r="79" spans="1:14">
      <c r="A79" s="444"/>
      <c r="C79" s="35"/>
      <c r="D79" s="46"/>
      <c r="E79" s="46"/>
      <c r="F79" s="48"/>
      <c r="G79" s="49"/>
      <c r="H79" s="49"/>
      <c r="I79" s="49"/>
      <c r="J79" s="454"/>
      <c r="K79" s="454"/>
      <c r="L79" s="454"/>
      <c r="M79" s="454"/>
      <c r="N79" s="454"/>
    </row>
    <row r="80" spans="1:14">
      <c r="A80" s="444"/>
      <c r="C80" s="35"/>
      <c r="D80" s="46"/>
      <c r="E80" s="46"/>
      <c r="F80" s="48"/>
      <c r="G80" s="49"/>
      <c r="H80" s="49"/>
      <c r="I80" s="49"/>
      <c r="J80" s="454"/>
      <c r="K80" s="454"/>
      <c r="L80" s="454"/>
      <c r="M80" s="454"/>
      <c r="N80" s="454"/>
    </row>
    <row r="81" spans="1:14">
      <c r="A81" s="444"/>
      <c r="C81" s="35"/>
      <c r="D81" s="46"/>
      <c r="E81" s="46"/>
      <c r="F81" s="48"/>
      <c r="G81" s="49"/>
      <c r="H81" s="49"/>
      <c r="I81" s="49"/>
      <c r="J81" s="454"/>
      <c r="K81" s="454"/>
      <c r="L81" s="454"/>
      <c r="M81" s="454"/>
      <c r="N81" s="454"/>
    </row>
    <row r="82" spans="1:14">
      <c r="A82" s="444"/>
      <c r="C82" s="35"/>
      <c r="D82" s="46"/>
      <c r="E82" s="46"/>
      <c r="F82" s="48"/>
      <c r="G82" s="49"/>
      <c r="H82" s="49"/>
      <c r="I82" s="49"/>
      <c r="J82" s="454"/>
      <c r="K82" s="454"/>
      <c r="L82" s="454"/>
      <c r="M82" s="454"/>
      <c r="N82" s="454"/>
    </row>
    <row r="83" spans="1:14">
      <c r="A83" s="444"/>
      <c r="C83" s="35"/>
      <c r="D83" s="46"/>
      <c r="E83" s="46"/>
      <c r="F83" s="48"/>
      <c r="G83" s="49"/>
      <c r="H83" s="49"/>
      <c r="I83" s="49"/>
      <c r="J83" s="454"/>
      <c r="K83" s="454"/>
      <c r="L83" s="454"/>
      <c r="M83" s="454"/>
      <c r="N83" s="454"/>
    </row>
    <row r="84" spans="1:14">
      <c r="A84" s="444"/>
      <c r="C84" s="35"/>
      <c r="D84" s="46"/>
      <c r="E84" s="46"/>
      <c r="F84" s="48"/>
      <c r="G84" s="49"/>
      <c r="H84" s="49"/>
      <c r="I84" s="49"/>
      <c r="J84" s="454"/>
      <c r="K84" s="454"/>
      <c r="L84" s="454"/>
      <c r="M84" s="454"/>
      <c r="N84" s="454"/>
    </row>
    <row r="85" spans="1:14">
      <c r="A85" s="444"/>
      <c r="C85" s="35"/>
      <c r="D85" s="46"/>
      <c r="E85" s="46"/>
      <c r="F85" s="48"/>
      <c r="G85" s="49"/>
      <c r="H85" s="49"/>
      <c r="I85" s="49"/>
      <c r="J85" s="454"/>
      <c r="K85" s="454"/>
      <c r="L85" s="454"/>
      <c r="M85" s="454"/>
      <c r="N85" s="454"/>
    </row>
    <row r="86" spans="1:14">
      <c r="A86" s="444"/>
      <c r="C86" s="35"/>
      <c r="D86" s="46"/>
      <c r="E86" s="46"/>
      <c r="F86" s="48"/>
      <c r="G86" s="49"/>
      <c r="H86" s="49"/>
      <c r="I86" s="49"/>
      <c r="J86" s="454"/>
      <c r="K86" s="454"/>
      <c r="L86" s="454"/>
      <c r="M86" s="454"/>
      <c r="N86" s="454"/>
    </row>
    <row r="87" spans="1:14">
      <c r="A87" s="444"/>
      <c r="C87" s="35"/>
      <c r="D87" s="46"/>
      <c r="E87" s="46"/>
      <c r="F87" s="48"/>
      <c r="G87" s="49"/>
      <c r="H87" s="49"/>
      <c r="I87" s="49"/>
      <c r="J87" s="454"/>
      <c r="K87" s="454"/>
      <c r="L87" s="454"/>
      <c r="M87" s="454"/>
      <c r="N87" s="454"/>
    </row>
    <row r="88" spans="1:14">
      <c r="A88" s="444"/>
      <c r="C88" s="35"/>
      <c r="D88" s="45"/>
      <c r="E88" s="46"/>
      <c r="F88" s="48"/>
      <c r="G88" s="49"/>
      <c r="H88" s="49"/>
      <c r="I88" s="49"/>
      <c r="J88" s="454"/>
      <c r="K88" s="454"/>
      <c r="L88" s="454"/>
      <c r="M88" s="454"/>
      <c r="N88" s="454"/>
    </row>
    <row r="89" spans="1:14">
      <c r="A89" s="444"/>
      <c r="C89" s="35"/>
      <c r="D89" s="45"/>
      <c r="E89" s="46"/>
      <c r="F89" s="48"/>
      <c r="G89" s="49"/>
      <c r="H89" s="49"/>
      <c r="I89" s="49"/>
      <c r="J89" s="454"/>
      <c r="K89" s="454"/>
      <c r="L89" s="454"/>
      <c r="M89" s="454"/>
      <c r="N89" s="454"/>
    </row>
    <row r="90" spans="1:14">
      <c r="A90" s="444"/>
      <c r="C90" s="35"/>
      <c r="D90" s="45"/>
      <c r="E90" s="46"/>
      <c r="F90" s="48"/>
      <c r="G90" s="49"/>
      <c r="H90" s="49"/>
      <c r="I90" s="49"/>
      <c r="J90" s="454"/>
      <c r="K90" s="454"/>
      <c r="L90" s="454"/>
      <c r="M90" s="454"/>
      <c r="N90" s="454"/>
    </row>
    <row r="91" spans="1:14">
      <c r="A91" s="444"/>
      <c r="C91" s="35"/>
      <c r="D91" s="45"/>
      <c r="E91" s="46"/>
      <c r="F91" s="48"/>
      <c r="G91" s="49"/>
      <c r="H91" s="49"/>
      <c r="I91" s="49"/>
      <c r="J91" s="454"/>
      <c r="K91" s="454"/>
      <c r="L91" s="454"/>
      <c r="M91" s="454"/>
      <c r="N91" s="454"/>
    </row>
    <row r="92" spans="1:14">
      <c r="A92" s="444"/>
      <c r="C92" s="35"/>
      <c r="D92" s="45"/>
      <c r="E92" s="46"/>
      <c r="F92" s="48"/>
      <c r="G92" s="49"/>
      <c r="H92" s="49"/>
      <c r="I92" s="49"/>
      <c r="J92" s="454"/>
      <c r="K92" s="454"/>
      <c r="L92" s="454"/>
      <c r="M92" s="454"/>
      <c r="N92" s="454"/>
    </row>
    <row r="93" spans="1:14">
      <c r="A93" s="444"/>
      <c r="C93" s="35"/>
      <c r="D93" s="45"/>
      <c r="E93" s="46"/>
      <c r="F93" s="48"/>
      <c r="G93" s="49"/>
      <c r="H93" s="49"/>
      <c r="I93" s="49"/>
      <c r="J93" s="454"/>
      <c r="K93" s="454"/>
      <c r="L93" s="454"/>
      <c r="M93" s="454"/>
      <c r="N93" s="454"/>
    </row>
    <row r="94" spans="1:14">
      <c r="A94" s="444"/>
      <c r="C94" s="35"/>
      <c r="D94" s="45"/>
      <c r="E94" s="46"/>
      <c r="F94" s="48"/>
      <c r="G94" s="49"/>
      <c r="H94" s="49"/>
      <c r="I94" s="49"/>
      <c r="J94" s="454"/>
      <c r="K94" s="454"/>
      <c r="L94" s="454"/>
      <c r="M94" s="454"/>
      <c r="N94" s="454"/>
    </row>
    <row r="95" spans="1:14">
      <c r="A95" s="444"/>
      <c r="C95" s="35"/>
      <c r="D95" s="45"/>
      <c r="E95" s="46"/>
      <c r="F95" s="48"/>
      <c r="G95" s="49"/>
      <c r="H95" s="49"/>
      <c r="I95" s="49"/>
      <c r="J95" s="454"/>
      <c r="K95" s="454"/>
      <c r="L95" s="454"/>
      <c r="M95" s="454"/>
      <c r="N95" s="454"/>
    </row>
    <row r="96" spans="1:14">
      <c r="A96" s="444"/>
      <c r="C96" s="35"/>
      <c r="D96" s="45"/>
      <c r="E96" s="46"/>
      <c r="F96" s="48"/>
      <c r="G96" s="49"/>
      <c r="H96" s="49"/>
      <c r="I96" s="49"/>
      <c r="J96" s="454"/>
      <c r="K96" s="454"/>
      <c r="L96" s="454"/>
      <c r="M96" s="454"/>
      <c r="N96" s="454"/>
    </row>
    <row r="97" spans="1:14">
      <c r="A97" s="444"/>
      <c r="C97" s="35"/>
      <c r="D97" s="45"/>
      <c r="E97" s="46"/>
      <c r="F97" s="48"/>
      <c r="G97" s="49"/>
      <c r="H97" s="49"/>
      <c r="I97" s="49"/>
      <c r="J97" s="454"/>
      <c r="K97" s="454"/>
      <c r="L97" s="454"/>
      <c r="M97" s="454"/>
      <c r="N97" s="454"/>
    </row>
    <row r="98" spans="1:14">
      <c r="A98" s="444"/>
      <c r="C98" s="35"/>
      <c r="D98" s="45"/>
      <c r="E98" s="46"/>
      <c r="F98" s="48"/>
      <c r="G98" s="49"/>
      <c r="H98" s="49"/>
      <c r="I98" s="49"/>
      <c r="J98" s="454"/>
      <c r="K98" s="454"/>
      <c r="L98" s="454"/>
      <c r="M98" s="454"/>
      <c r="N98" s="454"/>
    </row>
    <row r="99" spans="1:14">
      <c r="A99" s="444"/>
      <c r="C99" s="460"/>
      <c r="D99" s="45"/>
      <c r="E99" s="459"/>
      <c r="F99" s="48"/>
      <c r="G99" s="49"/>
      <c r="H99" s="49"/>
      <c r="I99" s="49"/>
      <c r="J99" s="454"/>
      <c r="K99" s="454"/>
      <c r="L99" s="454"/>
      <c r="M99" s="454"/>
      <c r="N99" s="454"/>
    </row>
    <row r="100" spans="1:14">
      <c r="A100" s="444"/>
      <c r="C100" s="460"/>
      <c r="D100" s="45"/>
      <c r="E100" s="459"/>
      <c r="F100" s="48"/>
      <c r="G100" s="49"/>
      <c r="H100" s="49"/>
      <c r="I100" s="49"/>
      <c r="J100" s="454"/>
      <c r="K100" s="454"/>
      <c r="L100" s="454"/>
      <c r="M100" s="454"/>
      <c r="N100" s="454"/>
    </row>
    <row r="101" spans="1:14">
      <c r="A101" s="444"/>
      <c r="C101" s="460"/>
      <c r="D101" s="45"/>
      <c r="E101" s="459"/>
      <c r="F101" s="48"/>
      <c r="G101" s="49"/>
      <c r="H101" s="49"/>
      <c r="I101" s="49"/>
      <c r="J101" s="454"/>
      <c r="K101" s="454"/>
      <c r="L101" s="454"/>
      <c r="M101" s="454"/>
      <c r="N101" s="454"/>
    </row>
    <row r="102" spans="1:14">
      <c r="A102" s="444"/>
      <c r="C102" s="460"/>
      <c r="D102" s="45"/>
      <c r="E102" s="459"/>
      <c r="F102" s="48"/>
      <c r="G102" s="49"/>
      <c r="H102" s="49"/>
      <c r="I102" s="49"/>
      <c r="J102" s="454"/>
      <c r="K102" s="454"/>
      <c r="L102" s="454"/>
      <c r="M102" s="454"/>
      <c r="N102" s="454"/>
    </row>
    <row r="103" spans="1:14">
      <c r="A103" s="444"/>
      <c r="C103" s="460"/>
      <c r="D103" s="45"/>
      <c r="E103" s="459"/>
      <c r="F103" s="48"/>
      <c r="G103" s="49"/>
      <c r="H103" s="49"/>
      <c r="I103" s="49"/>
      <c r="J103" s="454"/>
      <c r="K103" s="454"/>
      <c r="L103" s="454"/>
      <c r="M103" s="454"/>
      <c r="N103" s="454"/>
    </row>
    <row r="104" spans="1:14">
      <c r="A104" s="444"/>
      <c r="C104" s="460"/>
      <c r="D104" s="45"/>
      <c r="E104" s="459"/>
      <c r="F104" s="48"/>
      <c r="G104" s="49"/>
      <c r="H104" s="49"/>
      <c r="I104" s="49"/>
      <c r="J104" s="454"/>
      <c r="K104" s="454"/>
      <c r="L104" s="454"/>
      <c r="M104" s="454"/>
      <c r="N104" s="454"/>
    </row>
    <row r="105" spans="1:14">
      <c r="A105" s="444"/>
      <c r="C105" s="460"/>
      <c r="D105" s="45"/>
      <c r="E105" s="459"/>
      <c r="F105" s="48"/>
      <c r="G105" s="49"/>
      <c r="H105" s="49"/>
      <c r="I105" s="49"/>
      <c r="J105" s="454"/>
      <c r="K105" s="454"/>
      <c r="L105" s="454"/>
      <c r="M105" s="454"/>
      <c r="N105" s="454"/>
    </row>
    <row r="106" spans="1:14">
      <c r="A106" s="444"/>
      <c r="C106" s="460"/>
      <c r="D106" s="45"/>
      <c r="E106" s="459"/>
      <c r="F106" s="48"/>
      <c r="G106" s="49"/>
      <c r="H106" s="49"/>
      <c r="I106" s="49"/>
      <c r="J106" s="454"/>
      <c r="K106" s="454"/>
      <c r="L106" s="454"/>
      <c r="M106" s="454"/>
      <c r="N106" s="454"/>
    </row>
    <row r="107" spans="1:14">
      <c r="A107" s="444"/>
      <c r="C107" s="460"/>
      <c r="D107" s="45"/>
      <c r="E107" s="459"/>
      <c r="F107" s="48"/>
      <c r="G107" s="49"/>
      <c r="H107" s="49"/>
      <c r="I107" s="49"/>
      <c r="J107" s="454"/>
      <c r="K107" s="454"/>
      <c r="L107" s="454"/>
      <c r="M107" s="454"/>
      <c r="N107" s="454"/>
    </row>
    <row r="108" spans="1:14">
      <c r="C108" s="460"/>
      <c r="D108" s="45"/>
      <c r="E108" s="459"/>
      <c r="F108" s="48"/>
      <c r="G108" s="49"/>
      <c r="H108" s="49"/>
      <c r="I108" s="49"/>
      <c r="J108" s="454"/>
      <c r="K108" s="454"/>
      <c r="L108" s="454"/>
      <c r="M108" s="454"/>
      <c r="N108" s="454"/>
    </row>
    <row r="109" spans="1:14">
      <c r="C109" s="460"/>
      <c r="D109" s="45"/>
      <c r="E109" s="459"/>
      <c r="F109" s="48"/>
      <c r="G109" s="49"/>
      <c r="H109" s="49"/>
      <c r="I109" s="49"/>
      <c r="J109" s="454"/>
      <c r="K109" s="454"/>
      <c r="L109" s="454"/>
      <c r="M109" s="454"/>
      <c r="N109" s="454"/>
    </row>
    <row r="110" spans="1:14">
      <c r="C110" s="460"/>
      <c r="D110" s="45"/>
      <c r="E110" s="459"/>
      <c r="F110" s="48"/>
      <c r="G110" s="49"/>
      <c r="H110" s="49"/>
      <c r="I110" s="49"/>
      <c r="J110" s="454"/>
      <c r="K110" s="454"/>
      <c r="L110" s="454"/>
      <c r="M110" s="454"/>
      <c r="N110" s="454"/>
    </row>
    <row r="111" spans="1:14">
      <c r="C111" s="460"/>
      <c r="D111" s="461"/>
      <c r="E111" s="459"/>
      <c r="F111" s="459"/>
      <c r="G111" s="462"/>
      <c r="H111" s="462"/>
    </row>
    <row r="112" spans="1:14">
      <c r="C112" s="460"/>
      <c r="D112" s="461"/>
      <c r="E112" s="459"/>
      <c r="F112" s="459"/>
      <c r="G112" s="62"/>
      <c r="H112" s="62"/>
    </row>
  </sheetData>
  <sheetProtection formatCells="0"/>
  <mergeCells count="10">
    <mergeCell ref="A1:J1"/>
    <mergeCell ref="A2:J2"/>
    <mergeCell ref="A3:J3"/>
    <mergeCell ref="C60:I60"/>
    <mergeCell ref="C10:G10"/>
    <mergeCell ref="A4:G4"/>
    <mergeCell ref="C9:G9"/>
    <mergeCell ref="A5:J5"/>
    <mergeCell ref="A6:J6"/>
    <mergeCell ref="A7:J7"/>
  </mergeCells>
  <phoneticPr fontId="0" type="noConversion"/>
  <printOptions horizontalCentered="1"/>
  <pageMargins left="0.75" right="0.75" top="1" bottom="1" header="0.5" footer="0.5"/>
  <pageSetup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H48"/>
  <sheetViews>
    <sheetView zoomScale="150" zoomScaleNormal="150" zoomScaleSheetLayoutView="100" workbookViewId="0">
      <selection sqref="A1:XFD1048576"/>
    </sheetView>
  </sheetViews>
  <sheetFormatPr defaultColWidth="9.140625" defaultRowHeight="12.75"/>
  <cols>
    <col min="1" max="1" width="3.85546875" style="540" customWidth="1"/>
    <col min="2" max="2" width="38.28515625" style="540" customWidth="1"/>
    <col min="3" max="3" width="139.85546875" style="540" bestFit="1" customWidth="1"/>
    <col min="4" max="4" width="2.28515625" style="193" customWidth="1"/>
    <col min="5" max="5" width="16.5703125" style="193" bestFit="1" customWidth="1"/>
    <col min="6" max="6" width="1.85546875" style="193" customWidth="1"/>
    <col min="7" max="7" width="13.7109375" style="540" customWidth="1"/>
    <col min="8" max="8" width="11.5703125" style="193" bestFit="1" customWidth="1"/>
    <col min="9" max="9" width="10.42578125" style="193" bestFit="1" customWidth="1"/>
    <col min="10" max="16384" width="9.140625" style="193"/>
  </cols>
  <sheetData>
    <row r="1" spans="1:8">
      <c r="A1" s="563" t="s">
        <v>459</v>
      </c>
      <c r="B1" s="563"/>
      <c r="C1" s="563"/>
      <c r="D1" s="563"/>
      <c r="E1" s="563"/>
      <c r="F1" s="563"/>
      <c r="G1" s="563"/>
      <c r="H1" s="563"/>
    </row>
    <row r="2" spans="1:8">
      <c r="A2" s="563" t="s">
        <v>1038</v>
      </c>
      <c r="B2" s="563"/>
      <c r="C2" s="563"/>
      <c r="D2" s="563"/>
      <c r="E2" s="563"/>
      <c r="F2" s="563"/>
      <c r="G2" s="563"/>
      <c r="H2" s="563"/>
    </row>
    <row r="3" spans="1:8">
      <c r="A3" s="563" t="str">
        <f>'Title Page'!A10</f>
        <v>FOR THE TWELVE MONTHS ENDED DECEMBER 31, 2023</v>
      </c>
      <c r="B3" s="563"/>
      <c r="C3" s="563"/>
      <c r="D3" s="563"/>
      <c r="E3" s="563"/>
      <c r="F3" s="563"/>
      <c r="G3" s="563"/>
      <c r="H3" s="563"/>
    </row>
    <row r="4" spans="1:8">
      <c r="D4" s="540"/>
      <c r="E4" s="540"/>
      <c r="F4" s="540"/>
      <c r="H4" s="540"/>
    </row>
    <row r="5" spans="1:8">
      <c r="A5" s="564" t="s">
        <v>508</v>
      </c>
      <c r="B5" s="564"/>
      <c r="C5" s="564"/>
      <c r="D5" s="564"/>
      <c r="E5" s="564"/>
      <c r="F5" s="564"/>
      <c r="G5" s="564"/>
      <c r="H5" s="564"/>
    </row>
    <row r="6" spans="1:8">
      <c r="A6" s="564" t="s">
        <v>509</v>
      </c>
      <c r="B6" s="564"/>
      <c r="C6" s="564"/>
      <c r="D6" s="564"/>
      <c r="E6" s="564"/>
      <c r="F6" s="564"/>
      <c r="G6" s="564"/>
      <c r="H6" s="564"/>
    </row>
    <row r="7" spans="1:8">
      <c r="A7" s="541"/>
      <c r="B7" s="541"/>
      <c r="C7" s="541"/>
      <c r="D7" s="541"/>
      <c r="E7" s="541"/>
      <c r="F7" s="541"/>
      <c r="G7" s="541"/>
    </row>
    <row r="8" spans="1:8">
      <c r="A8" s="541"/>
      <c r="B8" s="541"/>
      <c r="C8" s="541"/>
      <c r="D8" s="541"/>
      <c r="E8" s="541"/>
      <c r="F8" s="541"/>
      <c r="G8" s="541"/>
    </row>
    <row r="10" spans="1:8" s="262" customFormat="1" ht="38.25">
      <c r="A10" s="293"/>
      <c r="B10" s="582" t="s">
        <v>413</v>
      </c>
      <c r="C10" s="582"/>
      <c r="E10" s="548" t="s">
        <v>414</v>
      </c>
      <c r="F10" s="293"/>
      <c r="G10" s="548" t="s">
        <v>415</v>
      </c>
    </row>
    <row r="11" spans="1:8">
      <c r="A11" s="429">
        <v>1</v>
      </c>
      <c r="B11" s="430" t="s">
        <v>1246</v>
      </c>
      <c r="C11" s="262" t="s">
        <v>1374</v>
      </c>
      <c r="D11" s="431"/>
      <c r="E11" s="432">
        <v>5527230.2199999997</v>
      </c>
      <c r="F11" s="135"/>
      <c r="G11" s="433" t="s">
        <v>1264</v>
      </c>
    </row>
    <row r="12" spans="1:8">
      <c r="A12" s="429">
        <v>2</v>
      </c>
      <c r="B12" s="430" t="s">
        <v>1228</v>
      </c>
      <c r="C12" s="262" t="s">
        <v>1344</v>
      </c>
      <c r="D12" s="431"/>
      <c r="E12" s="432">
        <v>2879668.13</v>
      </c>
      <c r="F12" s="135"/>
      <c r="G12" s="433" t="s">
        <v>1254</v>
      </c>
    </row>
    <row r="13" spans="1:8">
      <c r="A13" s="429">
        <v>3</v>
      </c>
      <c r="B13" s="430" t="s">
        <v>1232</v>
      </c>
      <c r="C13" s="193" t="s">
        <v>1343</v>
      </c>
      <c r="D13" s="431"/>
      <c r="E13" s="432">
        <v>2838385.3</v>
      </c>
      <c r="F13" s="135"/>
      <c r="G13" s="433">
        <v>27557544</v>
      </c>
    </row>
    <row r="14" spans="1:8">
      <c r="A14" s="429">
        <v>4</v>
      </c>
      <c r="B14" s="430" t="s">
        <v>1230</v>
      </c>
      <c r="C14" s="193" t="s">
        <v>1345</v>
      </c>
      <c r="D14" s="431"/>
      <c r="E14" s="432">
        <v>2770209.78</v>
      </c>
      <c r="F14" s="135"/>
      <c r="G14" s="433">
        <v>27603400</v>
      </c>
    </row>
    <row r="15" spans="1:8">
      <c r="A15" s="429">
        <v>5</v>
      </c>
      <c r="B15" s="430" t="s">
        <v>1243</v>
      </c>
      <c r="C15" s="262" t="s">
        <v>1346</v>
      </c>
      <c r="D15" s="431"/>
      <c r="E15" s="432">
        <v>2445065.7000000002</v>
      </c>
      <c r="F15" s="135"/>
      <c r="G15" s="433" t="s">
        <v>1263</v>
      </c>
    </row>
    <row r="16" spans="1:8">
      <c r="A16" s="429">
        <v>6</v>
      </c>
      <c r="B16" s="430" t="s">
        <v>1245</v>
      </c>
      <c r="C16" s="193" t="s">
        <v>1373</v>
      </c>
      <c r="D16" s="431"/>
      <c r="E16" s="432">
        <v>2303233.6100000003</v>
      </c>
      <c r="F16" s="135"/>
      <c r="G16" s="433">
        <v>27543488</v>
      </c>
      <c r="H16" s="434"/>
    </row>
    <row r="17" spans="1:8">
      <c r="A17" s="429">
        <v>7</v>
      </c>
      <c r="B17" s="430" t="s">
        <v>1226</v>
      </c>
      <c r="C17" s="193" t="s">
        <v>1347</v>
      </c>
      <c r="D17" s="431"/>
      <c r="E17" s="432">
        <v>1775311.1600000001</v>
      </c>
      <c r="F17" s="135"/>
      <c r="G17" s="433">
        <v>27577500</v>
      </c>
    </row>
    <row r="18" spans="1:8">
      <c r="A18" s="429">
        <v>8</v>
      </c>
      <c r="B18" s="430" t="s">
        <v>1229</v>
      </c>
      <c r="C18" s="193" t="s">
        <v>1348</v>
      </c>
      <c r="D18" s="431"/>
      <c r="E18" s="432">
        <v>1422078.81</v>
      </c>
      <c r="F18" s="135"/>
      <c r="G18" s="433" t="s">
        <v>1255</v>
      </c>
    </row>
    <row r="19" spans="1:8">
      <c r="A19" s="429">
        <v>9</v>
      </c>
      <c r="B19" s="430" t="s">
        <v>1233</v>
      </c>
      <c r="C19" s="193" t="s">
        <v>1349</v>
      </c>
      <c r="D19" s="431"/>
      <c r="E19" s="432">
        <v>1372251.4500000002</v>
      </c>
      <c r="F19" s="135"/>
      <c r="G19" s="433" t="s">
        <v>1379</v>
      </c>
      <c r="H19" s="274">
        <v>-1</v>
      </c>
    </row>
    <row r="20" spans="1:8">
      <c r="A20" s="429">
        <v>10</v>
      </c>
      <c r="B20" s="430" t="s">
        <v>1248</v>
      </c>
      <c r="C20" s="193" t="s">
        <v>1372</v>
      </c>
      <c r="D20" s="431"/>
      <c r="E20" s="432">
        <v>1233600.24</v>
      </c>
      <c r="F20" s="135"/>
      <c r="G20" s="433">
        <v>27516985</v>
      </c>
    </row>
    <row r="21" spans="1:8">
      <c r="A21" s="429">
        <v>11</v>
      </c>
      <c r="B21" s="430" t="s">
        <v>1227</v>
      </c>
      <c r="C21" s="193" t="s">
        <v>1350</v>
      </c>
      <c r="D21" s="431"/>
      <c r="E21" s="432">
        <v>1179488.6499999999</v>
      </c>
      <c r="F21" s="135"/>
      <c r="G21" s="433" t="s">
        <v>1253</v>
      </c>
    </row>
    <row r="22" spans="1:8">
      <c r="A22" s="429">
        <v>12</v>
      </c>
      <c r="B22" s="430" t="s">
        <v>1247</v>
      </c>
      <c r="C22" s="193" t="s">
        <v>1371</v>
      </c>
      <c r="D22" s="431"/>
      <c r="E22" s="432">
        <v>1064842.1000000001</v>
      </c>
      <c r="F22" s="135"/>
      <c r="G22" s="433">
        <v>27588568</v>
      </c>
    </row>
    <row r="23" spans="1:8">
      <c r="A23" s="429">
        <v>13</v>
      </c>
      <c r="B23" s="430" t="s">
        <v>1241</v>
      </c>
      <c r="C23" s="193" t="s">
        <v>1351</v>
      </c>
      <c r="D23" s="435"/>
      <c r="E23" s="432">
        <v>1037460.1000000001</v>
      </c>
      <c r="F23" s="136"/>
      <c r="G23" s="433" t="s">
        <v>1261</v>
      </c>
    </row>
    <row r="24" spans="1:8">
      <c r="A24" s="429">
        <v>14</v>
      </c>
      <c r="B24" s="430" t="s">
        <v>1216</v>
      </c>
      <c r="C24" s="262" t="s">
        <v>1352</v>
      </c>
      <c r="D24" s="435"/>
      <c r="E24" s="432">
        <v>996861.85</v>
      </c>
      <c r="F24" s="136"/>
      <c r="G24" s="433" t="s">
        <v>1250</v>
      </c>
    </row>
    <row r="25" spans="1:8">
      <c r="A25" s="429">
        <v>15</v>
      </c>
      <c r="B25" s="430" t="s">
        <v>1224</v>
      </c>
      <c r="C25" s="193" t="s">
        <v>1370</v>
      </c>
      <c r="D25" s="436"/>
      <c r="E25" s="432">
        <v>984528.76</v>
      </c>
      <c r="F25" s="437"/>
      <c r="G25" s="433">
        <v>27510629</v>
      </c>
    </row>
    <row r="26" spans="1:8">
      <c r="A26" s="429">
        <v>16</v>
      </c>
      <c r="B26" s="430" t="s">
        <v>1240</v>
      </c>
      <c r="C26" s="193" t="s">
        <v>1353</v>
      </c>
      <c r="E26" s="432">
        <v>940965.61</v>
      </c>
      <c r="F26" s="438"/>
      <c r="G26" s="433" t="s">
        <v>1260</v>
      </c>
    </row>
    <row r="27" spans="1:8">
      <c r="A27" s="429">
        <v>17</v>
      </c>
      <c r="B27" s="439" t="s">
        <v>1236</v>
      </c>
      <c r="C27" s="193" t="s">
        <v>1369</v>
      </c>
      <c r="E27" s="137">
        <v>934599.1399999999</v>
      </c>
      <c r="F27" s="438"/>
      <c r="G27" s="433" t="s">
        <v>1256</v>
      </c>
    </row>
    <row r="28" spans="1:8">
      <c r="A28" s="429">
        <v>18</v>
      </c>
      <c r="B28" s="439" t="s">
        <v>1238</v>
      </c>
      <c r="C28" s="193" t="s">
        <v>1368</v>
      </c>
      <c r="E28" s="137">
        <v>888946.94000000006</v>
      </c>
      <c r="F28" s="438"/>
      <c r="G28" s="433" t="s">
        <v>1258</v>
      </c>
    </row>
    <row r="29" spans="1:8">
      <c r="A29" s="429">
        <v>19</v>
      </c>
      <c r="B29" s="439" t="s">
        <v>1249</v>
      </c>
      <c r="C29" s="262" t="s">
        <v>1354</v>
      </c>
      <c r="E29" s="137">
        <v>862832.12</v>
      </c>
      <c r="F29" s="438"/>
      <c r="G29" s="433">
        <v>27537441</v>
      </c>
    </row>
    <row r="30" spans="1:8">
      <c r="A30" s="429">
        <v>20</v>
      </c>
      <c r="B30" s="439" t="s">
        <v>1235</v>
      </c>
      <c r="C30" s="193" t="s">
        <v>1355</v>
      </c>
      <c r="E30" s="137">
        <v>731826.74</v>
      </c>
      <c r="F30" s="438"/>
      <c r="G30" s="433">
        <v>27623750</v>
      </c>
    </row>
    <row r="31" spans="1:8">
      <c r="A31" s="429">
        <v>21</v>
      </c>
      <c r="B31" s="439" t="s">
        <v>1218</v>
      </c>
      <c r="C31" s="193" t="s">
        <v>1367</v>
      </c>
      <c r="E31" s="137">
        <v>594228.88</v>
      </c>
      <c r="F31" s="438"/>
      <c r="G31" s="433" t="s">
        <v>1252</v>
      </c>
    </row>
    <row r="32" spans="1:8">
      <c r="A32" s="429">
        <v>22</v>
      </c>
      <c r="B32" s="439" t="s">
        <v>1225</v>
      </c>
      <c r="C32" s="262" t="s">
        <v>1356</v>
      </c>
      <c r="E32" s="137">
        <v>468565.10000000003</v>
      </c>
      <c r="F32" s="438"/>
      <c r="G32" s="433">
        <v>27582271</v>
      </c>
    </row>
    <row r="33" spans="1:7">
      <c r="A33" s="429">
        <v>23</v>
      </c>
      <c r="B33" s="439" t="s">
        <v>1221</v>
      </c>
      <c r="C33" s="440" t="s">
        <v>1357</v>
      </c>
      <c r="E33" s="148">
        <v>438754.82</v>
      </c>
      <c r="G33" s="433">
        <v>27588018</v>
      </c>
    </row>
    <row r="34" spans="1:7">
      <c r="A34" s="429">
        <v>24</v>
      </c>
      <c r="B34" s="439" t="s">
        <v>1220</v>
      </c>
      <c r="C34" s="440" t="s">
        <v>1358</v>
      </c>
      <c r="E34" s="148">
        <v>411034.91</v>
      </c>
      <c r="G34" s="433">
        <v>27603853</v>
      </c>
    </row>
    <row r="35" spans="1:7">
      <c r="A35" s="429">
        <v>25</v>
      </c>
      <c r="B35" s="439" t="s">
        <v>1244</v>
      </c>
      <c r="C35" s="193" t="s">
        <v>1359</v>
      </c>
      <c r="E35" s="148">
        <v>401358.49</v>
      </c>
      <c r="G35" s="433">
        <v>27584405</v>
      </c>
    </row>
    <row r="36" spans="1:7">
      <c r="A36" s="429">
        <v>26</v>
      </c>
      <c r="B36" s="441" t="s">
        <v>1231</v>
      </c>
      <c r="C36" s="442" t="s">
        <v>1360</v>
      </c>
      <c r="E36" s="148">
        <v>390438.28</v>
      </c>
      <c r="G36" s="433">
        <v>27585847</v>
      </c>
    </row>
    <row r="37" spans="1:7">
      <c r="A37" s="429">
        <v>27</v>
      </c>
      <c r="B37" s="441" t="s">
        <v>1237</v>
      </c>
      <c r="C37" s="442" t="s">
        <v>1366</v>
      </c>
      <c r="E37" s="148">
        <v>384089.54000000004</v>
      </c>
      <c r="G37" s="433" t="s">
        <v>1257</v>
      </c>
    </row>
    <row r="38" spans="1:7">
      <c r="A38" s="429">
        <v>28</v>
      </c>
      <c r="B38" s="441" t="s">
        <v>1219</v>
      </c>
      <c r="C38" s="442" t="s">
        <v>1342</v>
      </c>
      <c r="E38" s="148">
        <v>375215.46</v>
      </c>
      <c r="G38" s="433">
        <v>27573848</v>
      </c>
    </row>
    <row r="39" spans="1:7">
      <c r="A39" s="429">
        <v>29</v>
      </c>
      <c r="B39" s="441" t="s">
        <v>1234</v>
      </c>
      <c r="C39" s="442" t="s">
        <v>1361</v>
      </c>
      <c r="E39" s="148">
        <v>357809.58999999997</v>
      </c>
      <c r="G39" s="433">
        <v>27608122</v>
      </c>
    </row>
    <row r="40" spans="1:7">
      <c r="A40" s="429">
        <v>30</v>
      </c>
      <c r="B40" s="441" t="s">
        <v>1223</v>
      </c>
      <c r="C40" s="442" t="s">
        <v>1365</v>
      </c>
      <c r="E40" s="148">
        <v>326828.36</v>
      </c>
      <c r="G40" s="433">
        <v>27568849</v>
      </c>
    </row>
    <row r="41" spans="1:7">
      <c r="A41" s="429">
        <v>31</v>
      </c>
      <c r="B41" s="441" t="s">
        <v>1239</v>
      </c>
      <c r="C41" s="442" t="s">
        <v>1364</v>
      </c>
      <c r="E41" s="148">
        <v>324624.33999999997</v>
      </c>
      <c r="G41" s="433" t="s">
        <v>1259</v>
      </c>
    </row>
    <row r="42" spans="1:7">
      <c r="A42" s="429">
        <v>32</v>
      </c>
      <c r="B42" s="441" t="s">
        <v>1222</v>
      </c>
      <c r="C42" s="442" t="s">
        <v>1375</v>
      </c>
      <c r="E42" s="148">
        <v>322025.39</v>
      </c>
      <c r="G42" s="433">
        <v>27645745</v>
      </c>
    </row>
    <row r="43" spans="1:7">
      <c r="A43" s="429">
        <v>33</v>
      </c>
      <c r="B43" s="441" t="s">
        <v>1242</v>
      </c>
      <c r="C43" s="442" t="s">
        <v>1362</v>
      </c>
      <c r="E43" s="148">
        <v>284789.12</v>
      </c>
      <c r="G43" s="433" t="s">
        <v>1262</v>
      </c>
    </row>
    <row r="44" spans="1:7">
      <c r="A44" s="429">
        <v>34</v>
      </c>
      <c r="B44" s="441" t="s">
        <v>1217</v>
      </c>
      <c r="C44" s="443" t="s">
        <v>1363</v>
      </c>
      <c r="E44" s="148">
        <v>280080.84999999998</v>
      </c>
      <c r="G44" s="433" t="s">
        <v>1251</v>
      </c>
    </row>
    <row r="48" spans="1:7" ht="26.25" customHeight="1">
      <c r="B48" s="570" t="s">
        <v>1381</v>
      </c>
      <c r="C48" s="570"/>
      <c r="D48" s="262"/>
      <c r="E48" s="262"/>
    </row>
  </sheetData>
  <mergeCells count="7">
    <mergeCell ref="B48:C48"/>
    <mergeCell ref="B10:C10"/>
    <mergeCell ref="A1:H1"/>
    <mergeCell ref="A2:H2"/>
    <mergeCell ref="A3:H3"/>
    <mergeCell ref="A5:H5"/>
    <mergeCell ref="A6:H6"/>
  </mergeCells>
  <phoneticPr fontId="18" type="noConversion"/>
  <printOptions horizontalCentered="1"/>
  <pageMargins left="0.75" right="0.75" top="1" bottom="1" header="0.5" footer="0.5"/>
  <pageSetup scale="4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T27"/>
  <sheetViews>
    <sheetView topLeftCell="A14" zoomScale="110" zoomScaleNormal="110" zoomScaleSheetLayoutView="100" workbookViewId="0">
      <selection sqref="A1:XFD1048576"/>
    </sheetView>
  </sheetViews>
  <sheetFormatPr defaultColWidth="9.140625" defaultRowHeight="12.75"/>
  <cols>
    <col min="1" max="9" width="9.85546875" style="193" customWidth="1"/>
    <col min="10" max="10" width="2.5703125" style="193" customWidth="1"/>
    <col min="11" max="16384" width="9.140625" style="193"/>
  </cols>
  <sheetData>
    <row r="1" spans="1:20">
      <c r="A1" s="563" t="s">
        <v>459</v>
      </c>
      <c r="B1" s="563"/>
      <c r="C1" s="563"/>
      <c r="D1" s="563"/>
      <c r="E1" s="563"/>
      <c r="F1" s="563"/>
      <c r="G1" s="563"/>
      <c r="H1" s="563"/>
      <c r="I1" s="563"/>
      <c r="J1" s="563"/>
      <c r="K1" s="563"/>
      <c r="L1" s="563"/>
      <c r="M1" s="563"/>
      <c r="N1" s="563"/>
      <c r="O1" s="563"/>
      <c r="P1" s="563"/>
      <c r="Q1" s="563"/>
      <c r="R1" s="563"/>
      <c r="S1" s="563"/>
      <c r="T1" s="563"/>
    </row>
    <row r="2" spans="1:20">
      <c r="A2" s="563" t="s">
        <v>1038</v>
      </c>
      <c r="B2" s="563"/>
      <c r="C2" s="563"/>
      <c r="D2" s="563"/>
      <c r="E2" s="563"/>
      <c r="F2" s="563"/>
      <c r="G2" s="563"/>
      <c r="H2" s="563"/>
      <c r="I2" s="563"/>
      <c r="J2" s="563"/>
      <c r="K2" s="563"/>
      <c r="L2" s="563"/>
      <c r="M2" s="563"/>
      <c r="N2" s="563"/>
      <c r="O2" s="563"/>
      <c r="P2" s="563"/>
      <c r="Q2" s="563"/>
      <c r="R2" s="563"/>
      <c r="S2" s="563"/>
      <c r="T2" s="563"/>
    </row>
    <row r="3" spans="1:20">
      <c r="A3" s="563" t="str">
        <f>'Title Page'!A10</f>
        <v>FOR THE TWELVE MONTHS ENDED DECEMBER 31, 2023</v>
      </c>
      <c r="B3" s="563"/>
      <c r="C3" s="563"/>
      <c r="D3" s="563"/>
      <c r="E3" s="563"/>
      <c r="F3" s="563"/>
      <c r="G3" s="563"/>
      <c r="H3" s="563"/>
      <c r="I3" s="563"/>
      <c r="J3" s="563"/>
      <c r="K3" s="563"/>
      <c r="L3" s="563"/>
      <c r="M3" s="563"/>
      <c r="N3" s="563"/>
      <c r="O3" s="563"/>
      <c r="P3" s="563"/>
      <c r="Q3" s="563"/>
      <c r="R3" s="563"/>
      <c r="S3" s="563"/>
      <c r="T3" s="563"/>
    </row>
    <row r="5" spans="1:20">
      <c r="A5" s="564" t="s">
        <v>506</v>
      </c>
      <c r="B5" s="564"/>
      <c r="C5" s="564"/>
      <c r="D5" s="564"/>
      <c r="E5" s="564"/>
      <c r="F5" s="564"/>
      <c r="G5" s="564"/>
      <c r="H5" s="564"/>
      <c r="I5" s="564"/>
      <c r="J5" s="564"/>
      <c r="K5" s="564"/>
      <c r="L5" s="564"/>
      <c r="M5" s="564"/>
      <c r="N5" s="564"/>
      <c r="O5" s="564"/>
      <c r="P5" s="564"/>
      <c r="Q5" s="564"/>
      <c r="R5" s="564"/>
      <c r="S5" s="564"/>
      <c r="T5" s="564"/>
    </row>
    <row r="6" spans="1:20">
      <c r="A6" s="564" t="s">
        <v>1183</v>
      </c>
      <c r="B6" s="564"/>
      <c r="C6" s="564"/>
      <c r="D6" s="564"/>
      <c r="E6" s="564"/>
      <c r="F6" s="564"/>
      <c r="G6" s="564"/>
      <c r="H6" s="564"/>
      <c r="I6" s="564"/>
      <c r="J6" s="564"/>
      <c r="K6" s="564"/>
      <c r="L6" s="564"/>
      <c r="M6" s="564"/>
      <c r="N6" s="564"/>
      <c r="O6" s="564"/>
      <c r="P6" s="564"/>
      <c r="Q6" s="564"/>
      <c r="R6" s="564"/>
      <c r="S6" s="564"/>
      <c r="T6" s="564"/>
    </row>
    <row r="7" spans="1:20">
      <c r="A7" s="564" t="s">
        <v>507</v>
      </c>
      <c r="B7" s="564"/>
      <c r="C7" s="564"/>
      <c r="D7" s="564"/>
      <c r="E7" s="564"/>
      <c r="F7" s="564"/>
      <c r="G7" s="564"/>
      <c r="H7" s="564"/>
      <c r="I7" s="564"/>
      <c r="J7" s="564"/>
      <c r="K7" s="564"/>
      <c r="L7" s="564"/>
      <c r="M7" s="564"/>
      <c r="N7" s="564"/>
      <c r="O7" s="564"/>
      <c r="P7" s="564"/>
      <c r="Q7" s="564"/>
      <c r="R7" s="564"/>
      <c r="S7" s="564"/>
      <c r="T7" s="564"/>
    </row>
    <row r="10" spans="1:20">
      <c r="B10" s="585"/>
      <c r="C10" s="585"/>
      <c r="D10" s="585"/>
      <c r="E10" s="585"/>
      <c r="F10" s="585"/>
      <c r="G10" s="585"/>
      <c r="H10" s="585"/>
    </row>
    <row r="11" spans="1:20">
      <c r="B11" s="584"/>
      <c r="C11" s="584"/>
      <c r="D11" s="584"/>
      <c r="E11" s="584"/>
      <c r="F11" s="584"/>
      <c r="G11" s="584"/>
      <c r="H11" s="584"/>
    </row>
    <row r="12" spans="1:20">
      <c r="B12" s="424" t="s">
        <v>938</v>
      </c>
      <c r="C12" s="550"/>
      <c r="D12" s="550"/>
      <c r="E12" s="550"/>
      <c r="F12" s="550"/>
      <c r="G12" s="550"/>
      <c r="H12" s="550"/>
      <c r="K12" s="265">
        <v>2023</v>
      </c>
    </row>
    <row r="13" spans="1:20" ht="27.95" customHeight="1">
      <c r="A13" s="394">
        <v>1</v>
      </c>
      <c r="B13" s="394" t="s">
        <v>933</v>
      </c>
      <c r="C13" s="394"/>
      <c r="D13" s="394"/>
      <c r="E13" s="394"/>
      <c r="F13" s="394"/>
      <c r="G13" s="394"/>
      <c r="H13" s="394"/>
      <c r="I13" s="394"/>
      <c r="K13" s="425" t="s">
        <v>944</v>
      </c>
      <c r="L13" s="426"/>
      <c r="M13" s="426"/>
      <c r="N13" s="426"/>
      <c r="O13" s="426"/>
      <c r="P13" s="426"/>
      <c r="Q13" s="426"/>
      <c r="R13" s="426"/>
      <c r="S13" s="426"/>
      <c r="T13" s="426"/>
    </row>
    <row r="14" spans="1:20" ht="32.450000000000003" customHeight="1">
      <c r="A14" s="394">
        <f>A13+1</f>
        <v>2</v>
      </c>
      <c r="B14" s="583" t="s">
        <v>934</v>
      </c>
      <c r="C14" s="583"/>
      <c r="D14" s="583"/>
      <c r="E14" s="583"/>
      <c r="F14" s="583"/>
      <c r="G14" s="583"/>
      <c r="H14" s="583"/>
      <c r="I14" s="583"/>
      <c r="K14" s="425" t="s">
        <v>944</v>
      </c>
      <c r="L14" s="425"/>
      <c r="M14" s="425"/>
      <c r="N14" s="425"/>
      <c r="O14" s="425"/>
      <c r="P14" s="425"/>
      <c r="Q14" s="425"/>
      <c r="R14" s="425"/>
      <c r="S14" s="425"/>
      <c r="T14" s="425"/>
    </row>
    <row r="15" spans="1:20" ht="42" customHeight="1">
      <c r="A15" s="427">
        <f>A14+1</f>
        <v>3</v>
      </c>
      <c r="B15" s="583" t="s">
        <v>935</v>
      </c>
      <c r="C15" s="583"/>
      <c r="D15" s="583"/>
      <c r="E15" s="583"/>
      <c r="F15" s="583"/>
      <c r="G15" s="583"/>
      <c r="H15" s="583"/>
      <c r="I15" s="583"/>
      <c r="K15" s="394" t="s">
        <v>944</v>
      </c>
      <c r="L15" s="394"/>
      <c r="M15" s="394"/>
      <c r="N15" s="394"/>
      <c r="O15" s="394"/>
      <c r="P15" s="394"/>
      <c r="Q15" s="394"/>
      <c r="R15" s="394"/>
      <c r="S15" s="394"/>
      <c r="T15" s="394"/>
    </row>
    <row r="16" spans="1:20" ht="29.1" customHeight="1">
      <c r="A16" s="427">
        <f>A15+1</f>
        <v>4</v>
      </c>
      <c r="B16" s="428" t="s">
        <v>936</v>
      </c>
      <c r="C16" s="428"/>
      <c r="D16" s="428"/>
      <c r="E16" s="428"/>
      <c r="F16" s="428"/>
      <c r="G16" s="428"/>
      <c r="H16" s="428"/>
      <c r="I16" s="428"/>
      <c r="K16" s="549" t="s">
        <v>944</v>
      </c>
      <c r="L16" s="549"/>
      <c r="M16" s="549"/>
      <c r="N16" s="549"/>
      <c r="O16" s="549"/>
      <c r="P16" s="549"/>
      <c r="Q16" s="549"/>
      <c r="R16" s="549"/>
      <c r="S16" s="549"/>
      <c r="T16" s="549"/>
    </row>
    <row r="17" spans="1:20" ht="30.6" customHeight="1">
      <c r="A17" s="427">
        <f>A16+1</f>
        <v>5</v>
      </c>
      <c r="B17" s="394" t="s">
        <v>937</v>
      </c>
      <c r="C17" s="394"/>
      <c r="D17" s="394"/>
      <c r="E17" s="394"/>
      <c r="F17" s="394"/>
      <c r="G17" s="394"/>
      <c r="H17" s="394"/>
      <c r="I17" s="394"/>
      <c r="K17" s="425" t="s">
        <v>944</v>
      </c>
      <c r="L17" s="425"/>
      <c r="M17" s="425"/>
      <c r="N17" s="425"/>
      <c r="O17" s="425"/>
      <c r="P17" s="425"/>
      <c r="Q17" s="425"/>
      <c r="R17" s="425"/>
      <c r="S17" s="425"/>
      <c r="T17" s="425"/>
    </row>
    <row r="18" spans="1:20" ht="64.5" customHeight="1">
      <c r="A18" s="427">
        <f>A17+1</f>
        <v>6</v>
      </c>
      <c r="B18" s="583" t="s">
        <v>943</v>
      </c>
      <c r="C18" s="583"/>
      <c r="D18" s="583"/>
      <c r="E18" s="583"/>
      <c r="F18" s="583"/>
      <c r="G18" s="583"/>
      <c r="H18" s="583"/>
      <c r="I18" s="583"/>
      <c r="K18" s="425" t="s">
        <v>944</v>
      </c>
      <c r="L18" s="425"/>
      <c r="M18" s="425"/>
      <c r="N18" s="425"/>
      <c r="O18" s="425"/>
      <c r="P18" s="425"/>
      <c r="Q18" s="425"/>
      <c r="R18" s="425"/>
      <c r="S18" s="425"/>
      <c r="T18" s="425"/>
    </row>
    <row r="19" spans="1:20">
      <c r="A19" s="427"/>
      <c r="K19" s="394"/>
      <c r="L19" s="394"/>
      <c r="M19" s="394"/>
      <c r="N19" s="394"/>
      <c r="O19" s="394"/>
      <c r="P19" s="394"/>
      <c r="Q19" s="394"/>
      <c r="R19" s="394"/>
      <c r="S19" s="394"/>
      <c r="T19" s="394"/>
    </row>
    <row r="20" spans="1:20">
      <c r="A20" s="427"/>
      <c r="B20" s="264" t="s">
        <v>939</v>
      </c>
      <c r="K20" s="394"/>
      <c r="L20" s="394"/>
      <c r="M20" s="394"/>
      <c r="N20" s="394"/>
      <c r="O20" s="394"/>
      <c r="P20" s="394"/>
      <c r="Q20" s="394"/>
      <c r="R20" s="394"/>
      <c r="S20" s="394"/>
      <c r="T20" s="394"/>
    </row>
    <row r="21" spans="1:20">
      <c r="A21" s="427">
        <f>A18+1</f>
        <v>7</v>
      </c>
      <c r="B21" s="193" t="s">
        <v>940</v>
      </c>
      <c r="K21" s="394" t="s">
        <v>944</v>
      </c>
      <c r="L21" s="394"/>
      <c r="M21" s="394"/>
      <c r="N21" s="394"/>
      <c r="O21" s="394"/>
      <c r="P21" s="394"/>
      <c r="Q21" s="394"/>
      <c r="R21" s="394"/>
      <c r="S21" s="394"/>
      <c r="T21" s="394"/>
    </row>
    <row r="22" spans="1:20">
      <c r="A22" s="427"/>
      <c r="K22" s="394"/>
      <c r="L22" s="394"/>
      <c r="M22" s="394"/>
      <c r="N22" s="394"/>
      <c r="O22" s="394"/>
      <c r="P22" s="394"/>
      <c r="Q22" s="394"/>
      <c r="R22" s="394"/>
      <c r="S22" s="394"/>
      <c r="T22" s="394"/>
    </row>
    <row r="23" spans="1:20">
      <c r="A23" s="427"/>
      <c r="B23" s="264" t="s">
        <v>941</v>
      </c>
      <c r="K23" s="394"/>
      <c r="L23" s="394"/>
      <c r="M23" s="394"/>
      <c r="N23" s="394"/>
      <c r="O23" s="394"/>
      <c r="P23" s="394"/>
      <c r="Q23" s="394"/>
      <c r="R23" s="394"/>
      <c r="S23" s="394"/>
      <c r="T23" s="394"/>
    </row>
    <row r="24" spans="1:20" ht="26.25" customHeight="1">
      <c r="A24" s="427">
        <f>A21+1</f>
        <v>8</v>
      </c>
      <c r="B24" s="570" t="s">
        <v>942</v>
      </c>
      <c r="C24" s="570"/>
      <c r="D24" s="570"/>
      <c r="E24" s="570"/>
      <c r="F24" s="570"/>
      <c r="G24" s="570"/>
      <c r="H24" s="570"/>
      <c r="I24" s="570"/>
      <c r="K24" s="394" t="s">
        <v>944</v>
      </c>
      <c r="L24" s="394"/>
      <c r="M24" s="394"/>
      <c r="N24" s="394"/>
      <c r="O24" s="394"/>
      <c r="P24" s="394"/>
      <c r="Q24" s="394"/>
      <c r="R24" s="394"/>
      <c r="S24" s="394"/>
      <c r="T24" s="394"/>
    </row>
    <row r="26" spans="1:20">
      <c r="A26" s="427"/>
      <c r="B26" s="264" t="s">
        <v>1186</v>
      </c>
      <c r="K26" s="394"/>
      <c r="L26" s="394"/>
      <c r="M26" s="394"/>
      <c r="N26" s="394"/>
      <c r="O26" s="394"/>
      <c r="P26" s="394"/>
      <c r="Q26" s="394"/>
      <c r="R26" s="394"/>
      <c r="S26" s="394"/>
      <c r="T26" s="394"/>
    </row>
    <row r="27" spans="1:20" ht="66" customHeight="1">
      <c r="A27" s="427">
        <v>9</v>
      </c>
      <c r="B27" s="570" t="s">
        <v>1185</v>
      </c>
      <c r="C27" s="570"/>
      <c r="D27" s="570"/>
      <c r="E27" s="570"/>
      <c r="F27" s="570"/>
      <c r="G27" s="570"/>
      <c r="H27" s="570"/>
      <c r="I27" s="570"/>
      <c r="K27" s="394" t="s">
        <v>1184</v>
      </c>
      <c r="L27" s="394"/>
      <c r="M27" s="394"/>
      <c r="N27" s="394"/>
      <c r="O27" s="394"/>
      <c r="P27" s="394"/>
      <c r="Q27" s="394"/>
      <c r="R27" s="394"/>
      <c r="S27" s="394"/>
      <c r="T27" s="394"/>
    </row>
  </sheetData>
  <mergeCells count="13">
    <mergeCell ref="B27:I27"/>
    <mergeCell ref="A1:T1"/>
    <mergeCell ref="A2:T2"/>
    <mergeCell ref="A3:T3"/>
    <mergeCell ref="B24:I24"/>
    <mergeCell ref="B18:I18"/>
    <mergeCell ref="A5:T5"/>
    <mergeCell ref="A6:T6"/>
    <mergeCell ref="A7:T7"/>
    <mergeCell ref="B14:I14"/>
    <mergeCell ref="B15:I15"/>
    <mergeCell ref="B11:H11"/>
    <mergeCell ref="B10:H10"/>
  </mergeCells>
  <phoneticPr fontId="18" type="noConversion"/>
  <printOptions horizontalCentered="1"/>
  <pageMargins left="0.75" right="0.75" top="1" bottom="1" header="0.5" footer="0.5"/>
  <pageSetup scale="4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114"/>
  <sheetViews>
    <sheetView topLeftCell="A27" zoomScaleNormal="100" zoomScaleSheetLayoutView="100" workbookViewId="0">
      <selection sqref="A1:XFD1048576"/>
    </sheetView>
  </sheetViews>
  <sheetFormatPr defaultColWidth="9.140625" defaultRowHeight="12.75"/>
  <cols>
    <col min="1" max="1" width="5.140625" style="540" customWidth="1"/>
    <col min="2" max="2" width="4.140625" style="193" customWidth="1"/>
    <col min="3" max="3" width="4" style="193" customWidth="1"/>
    <col min="4" max="4" width="57.85546875" style="193" bestFit="1" customWidth="1"/>
    <col min="5" max="5" width="19.7109375" style="193" bestFit="1" customWidth="1"/>
    <col min="6" max="6" width="16.7109375" style="250" customWidth="1"/>
    <col min="7" max="7" width="10.85546875" style="193" bestFit="1" customWidth="1"/>
    <col min="8" max="16384" width="9.140625" style="193"/>
  </cols>
  <sheetData>
    <row r="1" spans="1:7">
      <c r="A1" s="563" t="s">
        <v>459</v>
      </c>
      <c r="B1" s="563"/>
      <c r="C1" s="563"/>
      <c r="D1" s="563"/>
      <c r="E1" s="563"/>
      <c r="F1" s="563"/>
      <c r="G1" s="563"/>
    </row>
    <row r="2" spans="1:7">
      <c r="A2" s="563" t="s">
        <v>1038</v>
      </c>
      <c r="B2" s="563"/>
      <c r="C2" s="563"/>
      <c r="D2" s="563"/>
      <c r="E2" s="563"/>
      <c r="F2" s="563"/>
      <c r="G2" s="563"/>
    </row>
    <row r="3" spans="1:7">
      <c r="A3" s="563" t="str">
        <f>'Title Page'!A10</f>
        <v>FOR THE TWELVE MONTHS ENDED DECEMBER 31, 2023</v>
      </c>
      <c r="B3" s="563"/>
      <c r="C3" s="563"/>
      <c r="D3" s="563"/>
      <c r="E3" s="563"/>
      <c r="F3" s="563"/>
      <c r="G3" s="563"/>
    </row>
    <row r="4" spans="1:7">
      <c r="B4" s="540"/>
      <c r="C4" s="540"/>
      <c r="D4" s="540"/>
      <c r="E4" s="540"/>
      <c r="F4" s="540"/>
      <c r="G4" s="540"/>
    </row>
    <row r="5" spans="1:7" ht="15" customHeight="1">
      <c r="A5" s="564" t="s">
        <v>317</v>
      </c>
      <c r="B5" s="564"/>
      <c r="C5" s="564"/>
      <c r="D5" s="564"/>
      <c r="E5" s="564"/>
      <c r="F5" s="564"/>
      <c r="G5" s="564"/>
    </row>
    <row r="6" spans="1:7" ht="15.75" customHeight="1">
      <c r="A6" s="564" t="s">
        <v>208</v>
      </c>
      <c r="B6" s="564"/>
      <c r="C6" s="564"/>
      <c r="D6" s="564"/>
      <c r="E6" s="564"/>
      <c r="F6" s="564"/>
      <c r="G6" s="564"/>
    </row>
    <row r="8" spans="1:7">
      <c r="A8" s="193" t="s">
        <v>209</v>
      </c>
    </row>
    <row r="9" spans="1:7">
      <c r="A9" s="193"/>
      <c r="B9" s="418" t="s">
        <v>1325</v>
      </c>
    </row>
    <row r="10" spans="1:7">
      <c r="B10" s="418" t="s">
        <v>1326</v>
      </c>
    </row>
    <row r="11" spans="1:7">
      <c r="B11" s="418" t="s">
        <v>210</v>
      </c>
    </row>
    <row r="12" spans="1:7">
      <c r="F12" s="302"/>
    </row>
    <row r="13" spans="1:7">
      <c r="A13" s="540">
        <v>1</v>
      </c>
      <c r="B13" s="264" t="s">
        <v>208</v>
      </c>
      <c r="F13" s="302"/>
    </row>
    <row r="14" spans="1:7">
      <c r="A14" s="540">
        <f t="shared" ref="A14:A42" si="0">A13+1</f>
        <v>2</v>
      </c>
      <c r="F14" s="302"/>
    </row>
    <row r="15" spans="1:7">
      <c r="A15" s="540">
        <f t="shared" si="0"/>
        <v>3</v>
      </c>
      <c r="D15" s="193" t="s">
        <v>1327</v>
      </c>
      <c r="F15" s="63">
        <f>213296.16+472730.04+1729558.92</f>
        <v>2415585.12</v>
      </c>
    </row>
    <row r="16" spans="1:7">
      <c r="A16" s="540">
        <f t="shared" si="0"/>
        <v>4</v>
      </c>
      <c r="D16" s="193" t="s">
        <v>1328</v>
      </c>
      <c r="F16" s="419">
        <f>-(78655.32+498123.48+219327.24)</f>
        <v>-796106.04</v>
      </c>
      <c r="G16" s="346"/>
    </row>
    <row r="17" spans="1:6">
      <c r="A17" s="540">
        <f t="shared" si="0"/>
        <v>5</v>
      </c>
      <c r="D17" s="193" t="s">
        <v>211</v>
      </c>
      <c r="F17" s="63">
        <f>F15+F16</f>
        <v>1619479.08</v>
      </c>
    </row>
    <row r="18" spans="1:6">
      <c r="A18" s="540">
        <f t="shared" si="0"/>
        <v>6</v>
      </c>
      <c r="F18" s="193"/>
    </row>
    <row r="19" spans="1:6">
      <c r="A19" s="540">
        <f t="shared" si="0"/>
        <v>7</v>
      </c>
      <c r="C19" s="202" t="s">
        <v>212</v>
      </c>
      <c r="F19" s="193"/>
    </row>
    <row r="20" spans="1:6">
      <c r="A20" s="540">
        <f t="shared" si="0"/>
        <v>8</v>
      </c>
      <c r="D20" s="193" t="s">
        <v>450</v>
      </c>
      <c r="E20" s="30" t="s">
        <v>273</v>
      </c>
      <c r="F20" s="163">
        <f>'Schedule 3'!F29</f>
        <v>0.13081923000000001</v>
      </c>
    </row>
    <row r="21" spans="1:6" ht="15" customHeight="1">
      <c r="A21" s="540">
        <f t="shared" si="0"/>
        <v>9</v>
      </c>
      <c r="D21" s="193" t="s">
        <v>213</v>
      </c>
      <c r="E21" s="30" t="s">
        <v>214</v>
      </c>
      <c r="F21" s="63">
        <f>F17*F20</f>
        <v>211859.00624670842</v>
      </c>
    </row>
    <row r="22" spans="1:6">
      <c r="A22" s="540">
        <f t="shared" si="0"/>
        <v>10</v>
      </c>
      <c r="E22" s="250"/>
    </row>
    <row r="23" spans="1:6">
      <c r="A23" s="540">
        <f t="shared" si="0"/>
        <v>11</v>
      </c>
      <c r="C23" s="202" t="s">
        <v>215</v>
      </c>
      <c r="E23" s="250"/>
      <c r="F23" s="193"/>
    </row>
    <row r="24" spans="1:6">
      <c r="A24" s="540">
        <f t="shared" si="0"/>
        <v>12</v>
      </c>
      <c r="D24" s="193" t="s">
        <v>332</v>
      </c>
      <c r="E24" s="30" t="s">
        <v>196</v>
      </c>
      <c r="F24" s="163">
        <v>0.125</v>
      </c>
    </row>
    <row r="25" spans="1:6">
      <c r="A25" s="540">
        <f t="shared" si="0"/>
        <v>13</v>
      </c>
      <c r="D25" s="193" t="s">
        <v>216</v>
      </c>
      <c r="E25" s="30" t="s">
        <v>217</v>
      </c>
      <c r="F25" s="63">
        <f>F21*F24</f>
        <v>26482.375780838553</v>
      </c>
    </row>
    <row r="26" spans="1:6">
      <c r="A26" s="540">
        <f t="shared" si="0"/>
        <v>14</v>
      </c>
      <c r="E26" s="250"/>
      <c r="F26" s="63"/>
    </row>
    <row r="27" spans="1:6">
      <c r="A27" s="540">
        <f t="shared" si="0"/>
        <v>15</v>
      </c>
      <c r="C27" s="202" t="s">
        <v>218</v>
      </c>
      <c r="E27" s="250"/>
      <c r="F27" s="193"/>
    </row>
    <row r="28" spans="1:6">
      <c r="A28" s="540">
        <f t="shared" si="0"/>
        <v>16</v>
      </c>
      <c r="D28" s="193" t="s">
        <v>199</v>
      </c>
      <c r="E28" s="30" t="s">
        <v>202</v>
      </c>
      <c r="F28" s="141">
        <f>'Schedule 6'!I24</f>
        <v>7.7679247911788485E-2</v>
      </c>
    </row>
    <row r="29" spans="1:6">
      <c r="A29" s="540">
        <f t="shared" si="0"/>
        <v>17</v>
      </c>
      <c r="D29" s="193" t="s">
        <v>409</v>
      </c>
      <c r="E29" s="30" t="s">
        <v>202</v>
      </c>
      <c r="F29" s="163">
        <f>'Schedule 6'!I38</f>
        <v>1.737E-2</v>
      </c>
    </row>
    <row r="30" spans="1:6">
      <c r="A30" s="540">
        <f t="shared" si="0"/>
        <v>18</v>
      </c>
      <c r="D30" s="193" t="s">
        <v>219</v>
      </c>
      <c r="E30" s="30" t="s">
        <v>220</v>
      </c>
      <c r="F30" s="143">
        <f>SUM(F28:F29)</f>
        <v>9.5049247911788481E-2</v>
      </c>
    </row>
    <row r="31" spans="1:6">
      <c r="A31" s="540">
        <f t="shared" si="0"/>
        <v>19</v>
      </c>
      <c r="E31" s="250"/>
      <c r="F31" s="64"/>
    </row>
    <row r="32" spans="1:6">
      <c r="A32" s="540">
        <f t="shared" si="0"/>
        <v>20</v>
      </c>
      <c r="D32" s="193" t="s">
        <v>221</v>
      </c>
      <c r="E32" s="30" t="s">
        <v>222</v>
      </c>
      <c r="F32" s="63">
        <f>F25*(F30)</f>
        <v>2517.1299008860665</v>
      </c>
    </row>
    <row r="33" spans="1:6">
      <c r="A33" s="540">
        <f t="shared" si="0"/>
        <v>21</v>
      </c>
      <c r="E33" s="250"/>
    </row>
    <row r="34" spans="1:6">
      <c r="A34" s="540">
        <f t="shared" si="0"/>
        <v>22</v>
      </c>
      <c r="C34" s="193" t="s">
        <v>223</v>
      </c>
      <c r="E34" s="30" t="s">
        <v>224</v>
      </c>
      <c r="F34" s="420">
        <f>F32+F21</f>
        <v>214376.13614759449</v>
      </c>
    </row>
    <row r="35" spans="1:6">
      <c r="A35" s="540">
        <f t="shared" si="0"/>
        <v>23</v>
      </c>
      <c r="F35" s="417"/>
    </row>
    <row r="36" spans="1:6">
      <c r="A36" s="540">
        <f t="shared" si="0"/>
        <v>24</v>
      </c>
      <c r="F36" s="417"/>
    </row>
    <row r="37" spans="1:6">
      <c r="A37" s="540">
        <f t="shared" si="0"/>
        <v>25</v>
      </c>
      <c r="F37" s="541"/>
    </row>
    <row r="38" spans="1:6">
      <c r="A38" s="540">
        <f t="shared" si="0"/>
        <v>26</v>
      </c>
      <c r="B38" s="264" t="s">
        <v>225</v>
      </c>
      <c r="F38" s="193"/>
    </row>
    <row r="39" spans="1:6">
      <c r="A39" s="540">
        <f t="shared" si="0"/>
        <v>27</v>
      </c>
      <c r="B39" s="264"/>
      <c r="F39" s="193"/>
    </row>
    <row r="40" spans="1:6">
      <c r="A40" s="540">
        <f t="shared" si="0"/>
        <v>28</v>
      </c>
      <c r="C40" s="202" t="s">
        <v>1329</v>
      </c>
      <c r="F40" s="193"/>
    </row>
    <row r="41" spans="1:6">
      <c r="A41" s="540">
        <f t="shared" si="0"/>
        <v>29</v>
      </c>
      <c r="B41" s="264"/>
      <c r="D41" s="193" t="s">
        <v>234</v>
      </c>
      <c r="E41" s="250" t="s">
        <v>107</v>
      </c>
      <c r="F41" s="421">
        <f>'Rate Calculation'!E53</f>
        <v>137871934.3074598</v>
      </c>
    </row>
    <row r="42" spans="1:6">
      <c r="A42" s="540">
        <f t="shared" si="0"/>
        <v>30</v>
      </c>
      <c r="E42" s="250"/>
      <c r="F42" s="193"/>
    </row>
    <row r="43" spans="1:6">
      <c r="A43" s="540">
        <f t="shared" ref="A43:A59" si="1">A42+1</f>
        <v>31</v>
      </c>
      <c r="D43" s="193" t="s">
        <v>451</v>
      </c>
      <c r="E43" s="250" t="s">
        <v>262</v>
      </c>
      <c r="F43" s="421">
        <f>'Schedule 5'!G28</f>
        <v>4370.3333333333339</v>
      </c>
    </row>
    <row r="44" spans="1:6">
      <c r="A44" s="540">
        <f t="shared" si="1"/>
        <v>32</v>
      </c>
      <c r="E44" s="250"/>
      <c r="F44" s="418"/>
    </row>
    <row r="45" spans="1:6">
      <c r="A45" s="540">
        <f t="shared" si="1"/>
        <v>33</v>
      </c>
      <c r="D45" s="193" t="s">
        <v>263</v>
      </c>
      <c r="E45" s="30" t="s">
        <v>226</v>
      </c>
      <c r="F45" s="321">
        <f>ROUND(F41/(F43*1000), 2)</f>
        <v>31.55</v>
      </c>
    </row>
    <row r="46" spans="1:6">
      <c r="A46" s="540">
        <f t="shared" si="1"/>
        <v>34</v>
      </c>
      <c r="D46" s="193" t="s">
        <v>264</v>
      </c>
      <c r="E46" s="250" t="s">
        <v>227</v>
      </c>
      <c r="F46" s="422">
        <f>ROUND(F45/12, 4)</f>
        <v>2.6292</v>
      </c>
    </row>
    <row r="47" spans="1:6">
      <c r="A47" s="540">
        <f t="shared" si="1"/>
        <v>35</v>
      </c>
      <c r="E47" s="250"/>
    </row>
    <row r="48" spans="1:6">
      <c r="A48" s="540">
        <f t="shared" si="1"/>
        <v>36</v>
      </c>
      <c r="E48" s="250"/>
    </row>
    <row r="49" spans="1:6">
      <c r="A49" s="540">
        <f t="shared" si="1"/>
        <v>37</v>
      </c>
      <c r="C49" s="202" t="s">
        <v>1149</v>
      </c>
      <c r="E49" s="250"/>
      <c r="F49" s="193"/>
    </row>
    <row r="50" spans="1:6">
      <c r="A50" s="540">
        <f t="shared" si="1"/>
        <v>38</v>
      </c>
      <c r="B50" s="264"/>
      <c r="D50" s="193" t="s">
        <v>234</v>
      </c>
      <c r="E50" s="250" t="s">
        <v>228</v>
      </c>
      <c r="F50" s="421">
        <f>F41-F34</f>
        <v>137657558.17131221</v>
      </c>
    </row>
    <row r="51" spans="1:6">
      <c r="A51" s="540">
        <f t="shared" si="1"/>
        <v>39</v>
      </c>
      <c r="E51" s="250"/>
      <c r="F51" s="193"/>
    </row>
    <row r="52" spans="1:6">
      <c r="A52" s="540">
        <f t="shared" si="1"/>
        <v>40</v>
      </c>
      <c r="D52" s="193" t="s">
        <v>451</v>
      </c>
      <c r="E52" s="250" t="s">
        <v>262</v>
      </c>
      <c r="F52" s="421">
        <f>'Schedule 5'!G28</f>
        <v>4370.3333333333339</v>
      </c>
    </row>
    <row r="53" spans="1:6">
      <c r="A53" s="540">
        <f t="shared" si="1"/>
        <v>41</v>
      </c>
      <c r="E53" s="250"/>
      <c r="F53" s="418"/>
    </row>
    <row r="54" spans="1:6">
      <c r="A54" s="540">
        <f t="shared" si="1"/>
        <v>42</v>
      </c>
      <c r="D54" s="193" t="s">
        <v>263</v>
      </c>
      <c r="E54" s="30" t="s">
        <v>229</v>
      </c>
      <c r="F54" s="321">
        <f>ROUND(F50/(F52*1000), 2)</f>
        <v>31.5</v>
      </c>
    </row>
    <row r="55" spans="1:6">
      <c r="A55" s="540">
        <f t="shared" si="1"/>
        <v>43</v>
      </c>
      <c r="D55" s="193" t="s">
        <v>264</v>
      </c>
      <c r="E55" s="250" t="s">
        <v>230</v>
      </c>
      <c r="F55" s="422">
        <f>ROUND(F54/12, 4)</f>
        <v>2.625</v>
      </c>
    </row>
    <row r="56" spans="1:6">
      <c r="A56" s="540">
        <f t="shared" si="1"/>
        <v>44</v>
      </c>
      <c r="B56" s="264"/>
    </row>
    <row r="57" spans="1:6">
      <c r="A57" s="540">
        <f t="shared" si="1"/>
        <v>45</v>
      </c>
      <c r="B57" s="264"/>
    </row>
    <row r="58" spans="1:6">
      <c r="A58" s="540">
        <f t="shared" si="1"/>
        <v>46</v>
      </c>
      <c r="D58" s="264" t="s">
        <v>1330</v>
      </c>
      <c r="E58" s="250" t="s">
        <v>446</v>
      </c>
      <c r="F58" s="423">
        <f>F46-F55</f>
        <v>4.1999999999999815E-3</v>
      </c>
    </row>
    <row r="59" spans="1:6">
      <c r="A59" s="540">
        <f t="shared" si="1"/>
        <v>47</v>
      </c>
      <c r="D59" s="264" t="s">
        <v>231</v>
      </c>
      <c r="E59" s="264"/>
      <c r="F59" s="302" t="str">
        <f>IF(F58&gt;0.049999999, "YES", "NO")</f>
        <v>NO</v>
      </c>
    </row>
    <row r="63" spans="1:6">
      <c r="B63" s="264"/>
    </row>
    <row r="70" spans="2:6">
      <c r="F70" s="417"/>
    </row>
    <row r="71" spans="2:6">
      <c r="F71" s="417"/>
    </row>
    <row r="73" spans="2:6">
      <c r="F73" s="193"/>
    </row>
    <row r="74" spans="2:6">
      <c r="B74" s="264"/>
      <c r="F74" s="193"/>
    </row>
    <row r="77" spans="2:6">
      <c r="F77" s="417"/>
    </row>
    <row r="78" spans="2:6">
      <c r="F78" s="417"/>
    </row>
    <row r="81" spans="2:2">
      <c r="B81" s="264"/>
    </row>
    <row r="87" spans="2:2">
      <c r="B87" s="264"/>
    </row>
    <row r="88" spans="2:2">
      <c r="B88" s="264"/>
    </row>
    <row r="103" spans="2:2">
      <c r="B103" s="264"/>
    </row>
    <row r="109" spans="2:2">
      <c r="B109" s="264"/>
    </row>
    <row r="114" spans="2:2">
      <c r="B114" s="264"/>
    </row>
  </sheetData>
  <sheetProtection formatCells="0"/>
  <mergeCells count="5">
    <mergeCell ref="A1:G1"/>
    <mergeCell ref="A2:G2"/>
    <mergeCell ref="A3:G3"/>
    <mergeCell ref="A5:G5"/>
    <mergeCell ref="A6:G6"/>
  </mergeCells>
  <phoneticPr fontId="0" type="noConversion"/>
  <printOptions horizontalCentered="1"/>
  <pageMargins left="0.75" right="0.75" top="1" bottom="1" header="0.5" footer="0.5"/>
  <pageSetup scale="7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C19"/>
  <sheetViews>
    <sheetView zoomScaleNormal="100" zoomScaleSheetLayoutView="100" workbookViewId="0">
      <selection activeCell="E27" sqref="E27"/>
    </sheetView>
  </sheetViews>
  <sheetFormatPr defaultColWidth="9.140625" defaultRowHeight="12.75"/>
  <cols>
    <col min="1" max="1" width="4.7109375" style="540" customWidth="1"/>
    <col min="2" max="2" width="73.42578125" style="193" customWidth="1"/>
    <col min="3" max="16384" width="9.140625" style="193"/>
  </cols>
  <sheetData>
    <row r="1" spans="1:3">
      <c r="A1" s="563" t="s">
        <v>459</v>
      </c>
      <c r="B1" s="563"/>
      <c r="C1" s="563"/>
    </row>
    <row r="2" spans="1:3">
      <c r="A2" s="563" t="s">
        <v>1038</v>
      </c>
      <c r="B2" s="563"/>
      <c r="C2" s="563"/>
    </row>
    <row r="3" spans="1:3">
      <c r="A3" s="563" t="str">
        <f>'Title Page'!A10</f>
        <v>FOR THE TWELVE MONTHS ENDED DECEMBER 31, 2023</v>
      </c>
      <c r="B3" s="563"/>
      <c r="C3" s="563"/>
    </row>
    <row r="5" spans="1:3">
      <c r="A5" s="564" t="s">
        <v>621</v>
      </c>
      <c r="B5" s="564"/>
      <c r="C5" s="564"/>
    </row>
    <row r="6" spans="1:3">
      <c r="A6" s="564" t="s">
        <v>337</v>
      </c>
      <c r="B6" s="564"/>
      <c r="C6" s="564"/>
    </row>
    <row r="7" spans="1:3">
      <c r="B7" s="540"/>
    </row>
    <row r="8" spans="1:3">
      <c r="B8" s="262"/>
    </row>
    <row r="9" spans="1:3" ht="38.25" customHeight="1">
      <c r="A9" s="540">
        <v>1</v>
      </c>
      <c r="B9" s="570" t="s">
        <v>1378</v>
      </c>
      <c r="C9" s="570"/>
    </row>
    <row r="11" spans="1:3" ht="39" customHeight="1">
      <c r="A11" s="540">
        <v>2</v>
      </c>
      <c r="B11" s="570" t="s">
        <v>1382</v>
      </c>
      <c r="C11" s="570"/>
    </row>
    <row r="12" spans="1:3">
      <c r="A12" s="279"/>
      <c r="B12" s="262"/>
    </row>
    <row r="19" spans="1:1">
      <c r="A19" s="250"/>
    </row>
  </sheetData>
  <mergeCells count="7">
    <mergeCell ref="B11:C11"/>
    <mergeCell ref="B9:C9"/>
    <mergeCell ref="A1:C1"/>
    <mergeCell ref="A2:C2"/>
    <mergeCell ref="A3:C3"/>
    <mergeCell ref="A5:C5"/>
    <mergeCell ref="A6:C6"/>
  </mergeCells>
  <phoneticPr fontId="18" type="noConversion"/>
  <printOptions horizontalCentered="1"/>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I11"/>
  <sheetViews>
    <sheetView zoomScaleNormal="100" zoomScaleSheetLayoutView="100" workbookViewId="0">
      <selection sqref="A1:XFD1048576"/>
    </sheetView>
  </sheetViews>
  <sheetFormatPr defaultColWidth="9.140625" defaultRowHeight="12.75"/>
  <cols>
    <col min="1" max="16384" width="9.140625" style="193"/>
  </cols>
  <sheetData>
    <row r="1" spans="1:9">
      <c r="A1" s="563" t="s">
        <v>459</v>
      </c>
      <c r="B1" s="563"/>
      <c r="C1" s="563"/>
      <c r="D1" s="563"/>
      <c r="E1" s="563"/>
      <c r="F1" s="563"/>
      <c r="G1" s="563"/>
      <c r="H1" s="563"/>
      <c r="I1" s="563"/>
    </row>
    <row r="2" spans="1:9">
      <c r="A2" s="563" t="s">
        <v>1038</v>
      </c>
      <c r="B2" s="563"/>
      <c r="C2" s="563"/>
      <c r="D2" s="563"/>
      <c r="E2" s="563"/>
      <c r="F2" s="563"/>
      <c r="G2" s="563"/>
      <c r="H2" s="563"/>
      <c r="I2" s="563"/>
    </row>
    <row r="3" spans="1:9">
      <c r="A3" s="563" t="str">
        <f>'Title Page'!A10</f>
        <v>FOR THE TWELVE MONTHS ENDED DECEMBER 31, 2023</v>
      </c>
      <c r="B3" s="563"/>
      <c r="C3" s="563"/>
      <c r="D3" s="563"/>
      <c r="E3" s="563"/>
      <c r="F3" s="563"/>
      <c r="G3" s="563"/>
      <c r="H3" s="563"/>
      <c r="I3" s="563"/>
    </row>
    <row r="11" spans="1:9">
      <c r="A11" s="564" t="s">
        <v>418</v>
      </c>
      <c r="B11" s="564"/>
      <c r="C11" s="564"/>
      <c r="D11" s="564"/>
      <c r="E11" s="564"/>
      <c r="F11" s="564"/>
      <c r="G11" s="564"/>
      <c r="H11" s="564"/>
      <c r="I11" s="564"/>
    </row>
  </sheetData>
  <mergeCells count="4">
    <mergeCell ref="A11:I11"/>
    <mergeCell ref="A1:I1"/>
    <mergeCell ref="A2:I2"/>
    <mergeCell ref="A3:I3"/>
  </mergeCells>
  <phoneticPr fontId="18" type="noConversion"/>
  <printOptions horizontalCentered="1"/>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96"/>
  <sheetViews>
    <sheetView zoomScale="130" zoomScaleNormal="130" zoomScaleSheetLayoutView="100" workbookViewId="0">
      <selection sqref="A1:XFD1048576"/>
    </sheetView>
  </sheetViews>
  <sheetFormatPr defaultColWidth="9.140625" defaultRowHeight="12.75"/>
  <cols>
    <col min="1" max="1" width="5.140625" style="540" customWidth="1"/>
    <col min="2" max="2" width="5" style="193" customWidth="1"/>
    <col min="3" max="3" width="57" style="193" bestFit="1" customWidth="1"/>
    <col min="4" max="5" width="11.140625" style="193" customWidth="1"/>
    <col min="6" max="6" width="41" style="250" bestFit="1" customWidth="1"/>
    <col min="7" max="7" width="17.85546875" style="30" customWidth="1"/>
    <col min="8" max="16384" width="9.140625" style="193"/>
  </cols>
  <sheetData>
    <row r="1" spans="1:8">
      <c r="A1" s="563" t="s">
        <v>459</v>
      </c>
      <c r="B1" s="563"/>
      <c r="C1" s="563"/>
      <c r="D1" s="563"/>
      <c r="E1" s="563"/>
      <c r="F1" s="563"/>
      <c r="G1" s="563"/>
      <c r="H1" s="563"/>
    </row>
    <row r="2" spans="1:8">
      <c r="A2" s="563" t="s">
        <v>1038</v>
      </c>
      <c r="B2" s="563"/>
      <c r="C2" s="563"/>
      <c r="D2" s="563"/>
      <c r="E2" s="563"/>
      <c r="F2" s="563"/>
      <c r="G2" s="563"/>
      <c r="H2" s="563"/>
    </row>
    <row r="3" spans="1:8">
      <c r="A3" s="563" t="str">
        <f>'Title Page'!A10</f>
        <v>FOR THE TWELVE MONTHS ENDED DECEMBER 31, 2023</v>
      </c>
      <c r="B3" s="563"/>
      <c r="C3" s="563"/>
      <c r="D3" s="563"/>
      <c r="E3" s="563"/>
      <c r="F3" s="563"/>
      <c r="G3" s="563"/>
      <c r="H3" s="563"/>
    </row>
    <row r="4" spans="1:8">
      <c r="B4" s="540"/>
      <c r="C4" s="540"/>
      <c r="D4" s="540"/>
      <c r="E4" s="540"/>
      <c r="F4" s="540"/>
      <c r="G4" s="540"/>
      <c r="H4" s="540"/>
    </row>
    <row r="5" spans="1:8" ht="15" customHeight="1">
      <c r="A5" s="564" t="s">
        <v>1009</v>
      </c>
      <c r="B5" s="564"/>
      <c r="C5" s="564"/>
      <c r="D5" s="564"/>
      <c r="E5" s="564"/>
      <c r="F5" s="564"/>
      <c r="G5" s="564"/>
    </row>
    <row r="6" spans="1:8">
      <c r="A6" s="564" t="s">
        <v>1271</v>
      </c>
      <c r="B6" s="564"/>
      <c r="C6" s="564"/>
      <c r="D6" s="564"/>
      <c r="E6" s="564"/>
      <c r="F6" s="564"/>
      <c r="G6" s="564"/>
    </row>
    <row r="8" spans="1:8">
      <c r="F8" s="302" t="s">
        <v>192</v>
      </c>
      <c r="G8" s="29" t="s">
        <v>193</v>
      </c>
    </row>
    <row r="9" spans="1:8">
      <c r="A9" s="540">
        <v>1</v>
      </c>
      <c r="B9" s="264" t="s">
        <v>271</v>
      </c>
      <c r="F9" s="302"/>
    </row>
    <row r="10" spans="1:8">
      <c r="A10" s="540">
        <f t="shared" ref="A10:A16" si="0">A9+1</f>
        <v>2</v>
      </c>
      <c r="F10" s="302"/>
    </row>
    <row r="11" spans="1:8">
      <c r="A11" s="540">
        <f t="shared" si="0"/>
        <v>3</v>
      </c>
      <c r="C11" s="193" t="s">
        <v>399</v>
      </c>
      <c r="F11" s="250" t="s">
        <v>403</v>
      </c>
      <c r="G11" s="124">
        <v>280974751</v>
      </c>
    </row>
    <row r="12" spans="1:8">
      <c r="A12" s="540">
        <f t="shared" si="0"/>
        <v>4</v>
      </c>
      <c r="C12" s="193" t="s">
        <v>1268</v>
      </c>
      <c r="F12" s="250" t="s">
        <v>999</v>
      </c>
      <c r="G12" s="415">
        <v>0</v>
      </c>
    </row>
    <row r="13" spans="1:8">
      <c r="A13" s="540">
        <f t="shared" si="0"/>
        <v>5</v>
      </c>
      <c r="C13" s="193" t="s">
        <v>829</v>
      </c>
      <c r="F13" s="250" t="s">
        <v>1090</v>
      </c>
      <c r="G13" s="30">
        <v>-108640557</v>
      </c>
    </row>
    <row r="14" spans="1:8">
      <c r="A14" s="540">
        <f t="shared" si="0"/>
        <v>6</v>
      </c>
      <c r="C14" s="193" t="s">
        <v>971</v>
      </c>
      <c r="F14" s="250" t="s">
        <v>1090</v>
      </c>
      <c r="G14" s="152">
        <v>-5990852</v>
      </c>
    </row>
    <row r="15" spans="1:8">
      <c r="A15" s="540">
        <f t="shared" si="0"/>
        <v>7</v>
      </c>
      <c r="C15" s="193" t="s">
        <v>155</v>
      </c>
      <c r="G15" s="124">
        <f>SUM(G11:G14)</f>
        <v>166343342</v>
      </c>
    </row>
    <row r="16" spans="1:8">
      <c r="A16" s="540">
        <f t="shared" si="0"/>
        <v>8</v>
      </c>
    </row>
    <row r="17" spans="1:8">
      <c r="A17" s="540">
        <f>A16+1</f>
        <v>9</v>
      </c>
      <c r="C17" s="193" t="s">
        <v>401</v>
      </c>
      <c r="F17" s="250" t="s">
        <v>1091</v>
      </c>
      <c r="G17" s="124">
        <v>221989674</v>
      </c>
      <c r="H17" s="416">
        <v>-1</v>
      </c>
    </row>
    <row r="18" spans="1:8">
      <c r="A18" s="540">
        <f>A17+1</f>
        <v>10</v>
      </c>
      <c r="C18" s="193" t="s">
        <v>1269</v>
      </c>
      <c r="F18" s="250" t="s">
        <v>1092</v>
      </c>
      <c r="G18" s="30">
        <v>147949887</v>
      </c>
    </row>
    <row r="19" spans="1:8">
      <c r="A19" s="540">
        <f>A18+1</f>
        <v>11</v>
      </c>
      <c r="C19" s="193" t="s">
        <v>972</v>
      </c>
      <c r="F19" s="250" t="s">
        <v>1093</v>
      </c>
      <c r="G19" s="152">
        <f>-(-33817284+-955101+0+13028498)</f>
        <v>21743887</v>
      </c>
    </row>
    <row r="20" spans="1:8">
      <c r="A20" s="540">
        <f>A19+1</f>
        <v>12</v>
      </c>
      <c r="C20" s="193" t="s">
        <v>973</v>
      </c>
      <c r="G20" s="124">
        <f>SUM(G17:G19)</f>
        <v>391683448</v>
      </c>
    </row>
    <row r="25" spans="1:8">
      <c r="B25" s="264"/>
    </row>
    <row r="28" spans="1:8">
      <c r="F28" s="417"/>
      <c r="G28" s="31"/>
    </row>
    <row r="31" spans="1:8" ht="42.75" customHeight="1">
      <c r="A31" s="570" t="s">
        <v>1270</v>
      </c>
      <c r="B31" s="570"/>
      <c r="C31" s="570"/>
      <c r="D31" s="570"/>
      <c r="E31" s="570"/>
      <c r="F31" s="570"/>
      <c r="G31" s="570"/>
      <c r="H31" s="570"/>
    </row>
    <row r="32" spans="1:8">
      <c r="B32" s="264"/>
    </row>
    <row r="33" spans="2:7">
      <c r="B33" s="264"/>
    </row>
    <row r="35" spans="2:7">
      <c r="G35" s="31"/>
    </row>
    <row r="39" spans="2:7">
      <c r="B39" s="264"/>
    </row>
    <row r="46" spans="2:7">
      <c r="F46" s="417"/>
      <c r="G46" s="31"/>
    </row>
    <row r="47" spans="2:7">
      <c r="F47" s="417"/>
    </row>
    <row r="49" spans="2:7">
      <c r="F49" s="193"/>
      <c r="G49" s="193"/>
    </row>
    <row r="50" spans="2:7">
      <c r="B50" s="264"/>
      <c r="F50" s="193"/>
      <c r="G50" s="193"/>
    </row>
    <row r="52" spans="2:7">
      <c r="G52" s="346"/>
    </row>
    <row r="53" spans="2:7">
      <c r="F53" s="417"/>
    </row>
    <row r="54" spans="2:7">
      <c r="F54" s="417"/>
    </row>
    <row r="57" spans="2:7">
      <c r="B57" s="264"/>
    </row>
    <row r="60" spans="2:7">
      <c r="G60" s="31"/>
    </row>
    <row r="63" spans="2:7">
      <c r="B63" s="264"/>
    </row>
    <row r="64" spans="2:7">
      <c r="B64" s="264"/>
    </row>
    <row r="69" spans="2:7">
      <c r="G69" s="31"/>
    </row>
    <row r="75" spans="2:7">
      <c r="G75" s="32"/>
    </row>
    <row r="79" spans="2:7">
      <c r="B79" s="264"/>
    </row>
    <row r="82" spans="2:7">
      <c r="G82" s="31"/>
    </row>
    <row r="85" spans="2:7">
      <c r="B85" s="264"/>
    </row>
    <row r="87" spans="2:7">
      <c r="G87" s="31"/>
    </row>
    <row r="90" spans="2:7">
      <c r="B90" s="264"/>
    </row>
    <row r="93" spans="2:7">
      <c r="G93" s="31"/>
    </row>
    <row r="96" spans="2:7">
      <c r="G96" s="31"/>
    </row>
  </sheetData>
  <sheetProtection formatCells="0"/>
  <mergeCells count="6">
    <mergeCell ref="A5:G5"/>
    <mergeCell ref="A6:G6"/>
    <mergeCell ref="A31:H31"/>
    <mergeCell ref="A1:H1"/>
    <mergeCell ref="A2:H2"/>
    <mergeCell ref="A3:H3"/>
  </mergeCells>
  <phoneticPr fontId="0" type="noConversion"/>
  <printOptions horizontalCentered="1"/>
  <pageMargins left="0.75" right="0.75" top="1" bottom="1" header="0.5" footer="0.5"/>
  <pageSetup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9425-1596-4722-AA2C-C26C4F1BFCF3}">
  <sheetPr>
    <pageSetUpPr fitToPage="1"/>
  </sheetPr>
  <dimension ref="A1:K120"/>
  <sheetViews>
    <sheetView zoomScale="110" zoomScaleNormal="110" zoomScaleSheetLayoutView="100" workbookViewId="0">
      <selection sqref="A1:XFD1048576"/>
    </sheetView>
  </sheetViews>
  <sheetFormatPr defaultColWidth="9.140625" defaultRowHeight="12.75"/>
  <cols>
    <col min="1" max="1" width="5.140625" style="551" customWidth="1"/>
    <col min="2" max="2" width="5" style="401" customWidth="1"/>
    <col min="3" max="3" width="5.28515625" style="401" customWidth="1"/>
    <col min="4" max="4" width="48.42578125" style="401" customWidth="1"/>
    <col min="5" max="6" width="15.85546875" style="401" customWidth="1"/>
    <col min="7" max="7" width="18.28515625" style="405" bestFit="1" customWidth="1"/>
    <col min="8" max="8" width="15.85546875" style="30" customWidth="1"/>
    <col min="9" max="9" width="15.7109375" style="401" customWidth="1"/>
    <col min="10" max="10" width="13" style="401" customWidth="1"/>
    <col min="11" max="16384" width="9.140625" style="401"/>
  </cols>
  <sheetData>
    <row r="1" spans="1:11">
      <c r="A1" s="587" t="s">
        <v>459</v>
      </c>
      <c r="B1" s="587"/>
      <c r="C1" s="587"/>
      <c r="D1" s="587"/>
      <c r="E1" s="587"/>
      <c r="F1" s="587"/>
      <c r="G1" s="587"/>
      <c r="H1" s="587"/>
      <c r="I1" s="587"/>
      <c r="J1" s="587"/>
      <c r="K1" s="587"/>
    </row>
    <row r="2" spans="1:11">
      <c r="A2" s="587" t="s">
        <v>1038</v>
      </c>
      <c r="B2" s="587"/>
      <c r="C2" s="587"/>
      <c r="D2" s="587"/>
      <c r="E2" s="587"/>
      <c r="F2" s="587"/>
      <c r="G2" s="587"/>
      <c r="H2" s="587"/>
      <c r="I2" s="587"/>
      <c r="J2" s="587"/>
      <c r="K2" s="587"/>
    </row>
    <row r="3" spans="1:11">
      <c r="A3" s="587" t="str">
        <f>'Title Page'!A10</f>
        <v>FOR THE TWELVE MONTHS ENDED DECEMBER 31, 2023</v>
      </c>
      <c r="B3" s="587"/>
      <c r="C3" s="587"/>
      <c r="D3" s="587"/>
      <c r="E3" s="587"/>
      <c r="F3" s="587"/>
      <c r="G3" s="587"/>
      <c r="H3" s="587"/>
      <c r="I3" s="587"/>
      <c r="J3" s="587"/>
      <c r="K3" s="587"/>
    </row>
    <row r="4" spans="1:11">
      <c r="A4" s="587"/>
      <c r="B4" s="587"/>
      <c r="C4" s="587"/>
      <c r="D4" s="587"/>
      <c r="E4" s="587"/>
      <c r="F4" s="587"/>
      <c r="G4" s="587"/>
      <c r="H4" s="587"/>
      <c r="I4" s="587"/>
      <c r="J4" s="587"/>
      <c r="K4" s="587"/>
    </row>
    <row r="5" spans="1:11" ht="15" customHeight="1">
      <c r="A5" s="588" t="s">
        <v>1010</v>
      </c>
      <c r="B5" s="588"/>
      <c r="C5" s="588"/>
      <c r="D5" s="588"/>
      <c r="E5" s="588"/>
      <c r="F5" s="588"/>
      <c r="G5" s="588"/>
      <c r="H5" s="588"/>
      <c r="I5" s="588"/>
      <c r="J5" s="588"/>
      <c r="K5" s="588"/>
    </row>
    <row r="6" spans="1:11">
      <c r="A6" s="588" t="s">
        <v>1001</v>
      </c>
      <c r="B6" s="588"/>
      <c r="C6" s="588"/>
      <c r="D6" s="588"/>
      <c r="E6" s="588"/>
      <c r="F6" s="588"/>
      <c r="G6" s="588"/>
      <c r="H6" s="588"/>
      <c r="I6" s="588"/>
      <c r="J6" s="588"/>
      <c r="K6" s="588"/>
    </row>
    <row r="7" spans="1:11">
      <c r="A7" s="552"/>
      <c r="B7" s="552"/>
      <c r="C7" s="552"/>
      <c r="D7" s="552"/>
      <c r="E7" s="552"/>
      <c r="F7" s="552"/>
      <c r="G7" s="552"/>
      <c r="H7" s="552"/>
    </row>
    <row r="8" spans="1:11">
      <c r="A8" s="552"/>
      <c r="B8" s="552"/>
      <c r="C8" s="552"/>
      <c r="D8" s="552"/>
      <c r="E8" s="552"/>
      <c r="F8" s="552"/>
      <c r="G8" s="552"/>
      <c r="H8" s="552"/>
    </row>
    <row r="9" spans="1:11">
      <c r="E9" s="402"/>
      <c r="F9" s="589" t="s">
        <v>1272</v>
      </c>
      <c r="G9" s="589"/>
      <c r="H9" s="551"/>
      <c r="I9" s="551"/>
      <c r="J9" s="551"/>
    </row>
    <row r="10" spans="1:11" ht="25.5">
      <c r="E10" s="403" t="s">
        <v>1273</v>
      </c>
      <c r="F10" s="403" t="s">
        <v>1274</v>
      </c>
      <c r="G10" s="403" t="s">
        <v>1275</v>
      </c>
      <c r="H10" s="403" t="s">
        <v>1276</v>
      </c>
      <c r="I10" s="403" t="s">
        <v>1277</v>
      </c>
      <c r="J10" s="403" t="s">
        <v>1278</v>
      </c>
    </row>
    <row r="11" spans="1:11">
      <c r="A11" s="551">
        <v>1</v>
      </c>
      <c r="B11" s="404" t="s">
        <v>1002</v>
      </c>
      <c r="H11" s="401"/>
    </row>
    <row r="12" spans="1:11">
      <c r="A12" s="551">
        <f>A11+1</f>
        <v>2</v>
      </c>
      <c r="B12" s="404"/>
      <c r="D12" s="401" t="s">
        <v>1279</v>
      </c>
      <c r="E12" s="139">
        <v>0</v>
      </c>
      <c r="F12" s="139">
        <v>0</v>
      </c>
      <c r="G12" s="139">
        <v>0</v>
      </c>
      <c r="H12" s="154">
        <v>0</v>
      </c>
      <c r="I12" s="155"/>
      <c r="J12" s="156"/>
    </row>
    <row r="13" spans="1:11">
      <c r="A13" s="551">
        <f t="shared" ref="A13:A22" si="0">A12+1</f>
        <v>3</v>
      </c>
      <c r="D13" s="401" t="s">
        <v>399</v>
      </c>
      <c r="E13" s="139">
        <v>232220820</v>
      </c>
      <c r="F13" s="139">
        <f>-32862133</f>
        <v>-32862133</v>
      </c>
      <c r="G13" s="139">
        <f>-26075496+2862487</f>
        <v>-23213009</v>
      </c>
      <c r="H13" s="154">
        <v>176145678</v>
      </c>
      <c r="I13" s="155">
        <v>0.39100000000000001</v>
      </c>
      <c r="J13" s="156">
        <v>0.25700000000000001</v>
      </c>
    </row>
    <row r="14" spans="1:11">
      <c r="A14" s="551">
        <f t="shared" si="0"/>
        <v>4</v>
      </c>
      <c r="D14" s="401" t="s">
        <v>1280</v>
      </c>
      <c r="E14" s="139">
        <v>0</v>
      </c>
      <c r="F14" s="139">
        <f>-193991452-3359749-1</f>
        <v>-197351202</v>
      </c>
      <c r="G14" s="139">
        <v>0</v>
      </c>
      <c r="H14" s="154">
        <v>-197351202</v>
      </c>
      <c r="I14" s="155"/>
      <c r="J14" s="156"/>
    </row>
    <row r="15" spans="1:11">
      <c r="A15" s="551">
        <f t="shared" si="0"/>
        <v>5</v>
      </c>
      <c r="D15" s="401" t="s">
        <v>400</v>
      </c>
      <c r="E15" s="139">
        <v>0</v>
      </c>
      <c r="F15" s="139">
        <v>0</v>
      </c>
      <c r="G15" s="139">
        <v>0</v>
      </c>
      <c r="H15" s="154">
        <v>0</v>
      </c>
      <c r="I15" s="155"/>
      <c r="J15" s="156"/>
    </row>
    <row r="16" spans="1:11">
      <c r="A16" s="551">
        <f t="shared" si="0"/>
        <v>6</v>
      </c>
      <c r="D16" s="401" t="s">
        <v>401</v>
      </c>
      <c r="E16" s="139">
        <v>-500912182</v>
      </c>
      <c r="F16" s="139">
        <f>193991452+3359749+1</f>
        <v>197351202</v>
      </c>
      <c r="G16" s="139">
        <f>6328672-3841127</f>
        <v>2487545</v>
      </c>
      <c r="H16" s="154">
        <f>-498424637+197351202</f>
        <v>-301073435</v>
      </c>
      <c r="I16" s="155">
        <v>0.35299999999999998</v>
      </c>
      <c r="J16" s="156">
        <v>0.21299999999999999</v>
      </c>
    </row>
    <row r="17" spans="1:10">
      <c r="A17" s="551">
        <f t="shared" si="0"/>
        <v>7</v>
      </c>
      <c r="D17" s="401" t="s">
        <v>402</v>
      </c>
      <c r="E17" s="151">
        <v>-183529674</v>
      </c>
      <c r="F17" s="151">
        <v>32862133</v>
      </c>
      <c r="G17" s="151">
        <f>26107819-10504673</f>
        <v>15603146</v>
      </c>
      <c r="H17" s="157">
        <v>-135064395</v>
      </c>
      <c r="I17" s="155">
        <v>0.39100000000000001</v>
      </c>
      <c r="J17" s="158">
        <v>0.25700000000000001</v>
      </c>
    </row>
    <row r="18" spans="1:10">
      <c r="A18" s="551">
        <f t="shared" si="0"/>
        <v>8</v>
      </c>
      <c r="B18" s="404"/>
      <c r="D18" s="404" t="s">
        <v>1003</v>
      </c>
      <c r="E18" s="159">
        <f>SUM(E13:E17)</f>
        <v>-452221036</v>
      </c>
      <c r="F18" s="159">
        <f>SUM(F12:F17)</f>
        <v>0</v>
      </c>
      <c r="G18" s="159">
        <f>SUM(G12:G17)</f>
        <v>-5122318</v>
      </c>
      <c r="H18" s="160">
        <f>SUM(H13:H17)</f>
        <v>-457343354</v>
      </c>
      <c r="J18" s="406"/>
    </row>
    <row r="19" spans="1:10">
      <c r="A19" s="551">
        <f t="shared" si="0"/>
        <v>9</v>
      </c>
    </row>
    <row r="20" spans="1:10">
      <c r="A20" s="551">
        <f t="shared" si="0"/>
        <v>10</v>
      </c>
      <c r="G20" s="401"/>
      <c r="H20" s="29"/>
      <c r="I20" s="406"/>
    </row>
    <row r="21" spans="1:10">
      <c r="A21" s="551">
        <f t="shared" si="0"/>
        <v>11</v>
      </c>
      <c r="B21" s="404" t="s">
        <v>1281</v>
      </c>
      <c r="D21" s="404"/>
      <c r="G21" s="401"/>
      <c r="H21" s="161" t="s">
        <v>193</v>
      </c>
      <c r="I21" s="553" t="s">
        <v>192</v>
      </c>
      <c r="J21" s="401" t="s">
        <v>1287</v>
      </c>
    </row>
    <row r="22" spans="1:10">
      <c r="A22" s="551">
        <f t="shared" si="0"/>
        <v>12</v>
      </c>
      <c r="D22" s="401" t="s">
        <v>1282</v>
      </c>
      <c r="G22" s="401"/>
      <c r="H22" s="154">
        <v>0</v>
      </c>
      <c r="I22" s="405" t="s">
        <v>999</v>
      </c>
    </row>
    <row r="23" spans="1:10">
      <c r="A23" s="551">
        <f t="shared" ref="A23:A46" si="1">A22+1</f>
        <v>13</v>
      </c>
      <c r="D23" s="401" t="s">
        <v>1283</v>
      </c>
      <c r="G23" s="401"/>
      <c r="H23" s="30">
        <v>-147949888</v>
      </c>
      <c r="I23" s="405" t="s">
        <v>1150</v>
      </c>
    </row>
    <row r="24" spans="1:10">
      <c r="A24" s="551">
        <f t="shared" si="1"/>
        <v>14</v>
      </c>
      <c r="D24" s="401" t="s">
        <v>1284</v>
      </c>
      <c r="G24" s="401"/>
      <c r="H24" s="154">
        <v>0</v>
      </c>
      <c r="I24" s="405" t="s">
        <v>999</v>
      </c>
      <c r="J24" s="409">
        <v>-3</v>
      </c>
    </row>
    <row r="25" spans="1:10">
      <c r="A25" s="551">
        <f t="shared" si="1"/>
        <v>15</v>
      </c>
      <c r="D25" s="401" t="s">
        <v>1285</v>
      </c>
      <c r="G25" s="401"/>
      <c r="H25" s="152">
        <v>-51282387</v>
      </c>
      <c r="I25" s="405" t="s">
        <v>1151</v>
      </c>
      <c r="J25" s="409">
        <v>-3</v>
      </c>
    </row>
    <row r="26" spans="1:10">
      <c r="A26" s="551">
        <f t="shared" si="1"/>
        <v>16</v>
      </c>
      <c r="D26" s="404" t="s">
        <v>1286</v>
      </c>
      <c r="E26" s="404"/>
      <c r="F26" s="404"/>
      <c r="G26" s="406"/>
      <c r="H26" s="160">
        <f>SUM(H22:H25)</f>
        <v>-199232275</v>
      </c>
    </row>
    <row r="27" spans="1:10">
      <c r="A27" s="551">
        <f t="shared" si="1"/>
        <v>17</v>
      </c>
      <c r="B27" s="404"/>
      <c r="D27" s="404"/>
      <c r="E27" s="404"/>
      <c r="F27" s="404"/>
      <c r="G27" s="406"/>
      <c r="H27" s="29"/>
    </row>
    <row r="28" spans="1:10">
      <c r="A28" s="551">
        <f t="shared" si="1"/>
        <v>18</v>
      </c>
      <c r="B28" s="404"/>
      <c r="D28" s="404"/>
      <c r="E28" s="404"/>
      <c r="F28" s="404"/>
      <c r="G28" s="406"/>
      <c r="H28" s="29"/>
    </row>
    <row r="29" spans="1:10">
      <c r="A29" s="551">
        <f t="shared" si="1"/>
        <v>19</v>
      </c>
      <c r="B29" s="404" t="s">
        <v>1288</v>
      </c>
      <c r="E29" s="551" t="s">
        <v>1289</v>
      </c>
      <c r="F29" s="551" t="s">
        <v>1289</v>
      </c>
      <c r="G29" s="552" t="s">
        <v>1290</v>
      </c>
      <c r="H29" s="551" t="s">
        <v>1289</v>
      </c>
      <c r="I29" s="551" t="s">
        <v>1289</v>
      </c>
      <c r="J29" s="552" t="s">
        <v>1291</v>
      </c>
    </row>
    <row r="30" spans="1:10">
      <c r="A30" s="551">
        <f t="shared" si="1"/>
        <v>20</v>
      </c>
      <c r="D30" s="553" t="s">
        <v>36</v>
      </c>
      <c r="E30" s="403" t="s">
        <v>1292</v>
      </c>
      <c r="F30" s="553" t="s">
        <v>1293</v>
      </c>
      <c r="G30" s="553" t="s">
        <v>1005</v>
      </c>
      <c r="H30" s="403" t="s">
        <v>1292</v>
      </c>
      <c r="I30" s="553" t="s">
        <v>1293</v>
      </c>
      <c r="J30" s="553" t="s">
        <v>1005</v>
      </c>
    </row>
    <row r="31" spans="1:10" ht="15" customHeight="1">
      <c r="A31" s="551">
        <f t="shared" si="1"/>
        <v>21</v>
      </c>
      <c r="D31" s="401" t="s">
        <v>1008</v>
      </c>
      <c r="E31" s="410"/>
      <c r="F31" s="551"/>
      <c r="G31" s="131">
        <v>0</v>
      </c>
      <c r="H31" s="401"/>
      <c r="I31" s="551"/>
      <c r="J31" s="131">
        <v>0</v>
      </c>
    </row>
    <row r="32" spans="1:10" ht="15" customHeight="1">
      <c r="A32" s="551">
        <f t="shared" si="1"/>
        <v>22</v>
      </c>
      <c r="C32" s="411"/>
      <c r="D32" s="412">
        <v>43465</v>
      </c>
      <c r="E32" s="551"/>
      <c r="F32" s="127">
        <v>0</v>
      </c>
      <c r="G32" s="84">
        <f>G31+F32</f>
        <v>0</v>
      </c>
      <c r="H32" s="401"/>
      <c r="I32" s="127">
        <v>0</v>
      </c>
      <c r="J32" s="84">
        <f>J31+I32</f>
        <v>0</v>
      </c>
    </row>
    <row r="33" spans="1:10">
      <c r="A33" s="551">
        <f t="shared" si="1"/>
        <v>23</v>
      </c>
      <c r="D33" s="412">
        <v>43830</v>
      </c>
      <c r="E33" s="80"/>
      <c r="F33" s="127">
        <v>0</v>
      </c>
      <c r="G33" s="84">
        <f>G32+F33</f>
        <v>0</v>
      </c>
      <c r="H33" s="401"/>
      <c r="I33" s="127">
        <v>0</v>
      </c>
      <c r="J33" s="84">
        <f t="shared" ref="J33:J35" si="2">J32+I33</f>
        <v>0</v>
      </c>
    </row>
    <row r="34" spans="1:10">
      <c r="A34" s="551">
        <f t="shared" si="1"/>
        <v>24</v>
      </c>
      <c r="D34" s="412">
        <v>44196</v>
      </c>
      <c r="E34" s="80"/>
      <c r="F34" s="127">
        <v>0</v>
      </c>
      <c r="G34" s="84">
        <f>G33+F34</f>
        <v>0</v>
      </c>
      <c r="I34" s="127">
        <v>0</v>
      </c>
      <c r="J34" s="84">
        <f t="shared" si="2"/>
        <v>0</v>
      </c>
    </row>
    <row r="35" spans="1:10">
      <c r="A35" s="551">
        <f t="shared" si="1"/>
        <v>25</v>
      </c>
      <c r="D35" s="412">
        <v>44561</v>
      </c>
      <c r="E35" s="80"/>
      <c r="F35" s="127">
        <v>0</v>
      </c>
      <c r="G35" s="84">
        <f>G34+F35</f>
        <v>0</v>
      </c>
      <c r="I35" s="127">
        <v>0</v>
      </c>
      <c r="J35" s="84">
        <f t="shared" si="2"/>
        <v>0</v>
      </c>
    </row>
    <row r="36" spans="1:10">
      <c r="A36" s="551">
        <f t="shared" si="1"/>
        <v>26</v>
      </c>
      <c r="D36" s="412"/>
      <c r="E36" s="80"/>
      <c r="F36" s="127"/>
      <c r="G36" s="84"/>
      <c r="I36" s="127"/>
      <c r="J36" s="84"/>
    </row>
    <row r="37" spans="1:10">
      <c r="A37" s="551">
        <f t="shared" si="1"/>
        <v>27</v>
      </c>
    </row>
    <row r="38" spans="1:10">
      <c r="A38" s="551">
        <f t="shared" si="1"/>
        <v>28</v>
      </c>
      <c r="B38" s="404" t="s">
        <v>1004</v>
      </c>
      <c r="E38" s="551" t="s">
        <v>1289</v>
      </c>
      <c r="F38" s="551" t="s">
        <v>1289</v>
      </c>
      <c r="G38" s="552" t="s">
        <v>1290</v>
      </c>
      <c r="H38" s="551" t="s">
        <v>1289</v>
      </c>
      <c r="I38" s="551" t="s">
        <v>1289</v>
      </c>
      <c r="J38" s="552" t="s">
        <v>1291</v>
      </c>
    </row>
    <row r="39" spans="1:10">
      <c r="A39" s="551">
        <f t="shared" si="1"/>
        <v>29</v>
      </c>
      <c r="D39" s="553" t="s">
        <v>36</v>
      </c>
      <c r="E39" s="403" t="s">
        <v>1294</v>
      </c>
      <c r="F39" s="553" t="s">
        <v>1295</v>
      </c>
      <c r="G39" s="553" t="s">
        <v>1005</v>
      </c>
      <c r="H39" s="403" t="s">
        <v>1294</v>
      </c>
      <c r="I39" s="553" t="s">
        <v>1295</v>
      </c>
      <c r="J39" s="553" t="s">
        <v>1005</v>
      </c>
    </row>
    <row r="40" spans="1:10" ht="15" customHeight="1">
      <c r="A40" s="551">
        <f t="shared" si="1"/>
        <v>30</v>
      </c>
      <c r="D40" s="401" t="s">
        <v>1008</v>
      </c>
      <c r="E40" s="410"/>
      <c r="F40" s="551"/>
      <c r="G40" s="131">
        <v>-197351202</v>
      </c>
      <c r="H40" s="401"/>
      <c r="I40" s="551"/>
      <c r="J40" s="131">
        <v>0</v>
      </c>
    </row>
    <row r="41" spans="1:10" ht="15" customHeight="1">
      <c r="A41" s="551">
        <f t="shared" si="1"/>
        <v>31</v>
      </c>
      <c r="C41" s="411"/>
      <c r="D41" s="412">
        <v>43465</v>
      </c>
      <c r="E41" s="551" t="s">
        <v>1000</v>
      </c>
      <c r="F41" s="127">
        <v>7288861</v>
      </c>
      <c r="G41" s="30">
        <f>G40+F41</f>
        <v>-190062341</v>
      </c>
      <c r="H41" s="401"/>
      <c r="I41" s="127">
        <v>0</v>
      </c>
      <c r="J41" s="84">
        <f>J40+I41</f>
        <v>0</v>
      </c>
    </row>
    <row r="42" spans="1:10">
      <c r="A42" s="551">
        <f t="shared" si="1"/>
        <v>32</v>
      </c>
      <c r="D42" s="412">
        <v>43830</v>
      </c>
      <c r="E42" s="80" t="s">
        <v>1000</v>
      </c>
      <c r="F42" s="127">
        <v>6180764</v>
      </c>
      <c r="G42" s="84">
        <f>G41+F42</f>
        <v>-183881577</v>
      </c>
      <c r="H42" s="401"/>
      <c r="I42" s="127">
        <v>0</v>
      </c>
      <c r="J42" s="84">
        <f t="shared" ref="J42:J45" si="3">J41+I42</f>
        <v>0</v>
      </c>
    </row>
    <row r="43" spans="1:10">
      <c r="A43" s="551">
        <f t="shared" si="1"/>
        <v>33</v>
      </c>
      <c r="D43" s="412">
        <v>44196</v>
      </c>
      <c r="E43" s="80" t="s">
        <v>1000</v>
      </c>
      <c r="F43" s="127">
        <f>5993135-1108134</f>
        <v>4885001</v>
      </c>
      <c r="G43" s="84">
        <f t="shared" ref="G43:G45" si="4">G42+F43</f>
        <v>-178996576</v>
      </c>
      <c r="I43" s="127">
        <v>0</v>
      </c>
      <c r="J43" s="84">
        <f t="shared" si="3"/>
        <v>0</v>
      </c>
    </row>
    <row r="44" spans="1:10">
      <c r="A44" s="551">
        <f t="shared" si="1"/>
        <v>34</v>
      </c>
      <c r="D44" s="412">
        <v>44561</v>
      </c>
      <c r="E44" s="80" t="s">
        <v>1085</v>
      </c>
      <c r="F44" s="127">
        <v>8957898.5800000001</v>
      </c>
      <c r="G44" s="84">
        <f t="shared" si="4"/>
        <v>-170038677.41999999</v>
      </c>
      <c r="I44" s="127">
        <v>0</v>
      </c>
      <c r="J44" s="84">
        <f t="shared" si="3"/>
        <v>0</v>
      </c>
    </row>
    <row r="45" spans="1:10">
      <c r="A45" s="551">
        <f t="shared" si="1"/>
        <v>35</v>
      </c>
      <c r="D45" s="412">
        <v>44926</v>
      </c>
      <c r="E45" s="551" t="s">
        <v>1085</v>
      </c>
      <c r="F45" s="127">
        <v>11404633.1</v>
      </c>
      <c r="G45" s="84">
        <f t="shared" si="4"/>
        <v>-158634044.31999999</v>
      </c>
      <c r="I45" s="127">
        <v>0</v>
      </c>
      <c r="J45" s="84">
        <f t="shared" si="3"/>
        <v>0</v>
      </c>
    </row>
    <row r="46" spans="1:10">
      <c r="A46" s="551">
        <f t="shared" si="1"/>
        <v>36</v>
      </c>
      <c r="D46" s="412">
        <v>45291</v>
      </c>
      <c r="E46" s="551" t="s">
        <v>1085</v>
      </c>
      <c r="F46" s="127">
        <f>'Schedule 2'!F39</f>
        <v>10684156</v>
      </c>
      <c r="G46" s="84">
        <f t="shared" ref="G46" si="5">G45+F46</f>
        <v>-147949888.31999999</v>
      </c>
      <c r="I46" s="127">
        <v>0</v>
      </c>
      <c r="J46" s="84">
        <f t="shared" ref="J46" si="6">J45+I46</f>
        <v>0</v>
      </c>
    </row>
    <row r="49" spans="1:10" ht="67.5" customHeight="1">
      <c r="A49" s="586" t="s">
        <v>1296</v>
      </c>
      <c r="B49" s="586"/>
      <c r="C49" s="586"/>
      <c r="D49" s="586"/>
      <c r="E49" s="586"/>
      <c r="F49" s="586"/>
      <c r="G49" s="586"/>
      <c r="H49" s="586"/>
      <c r="I49" s="586"/>
      <c r="J49" s="586"/>
    </row>
    <row r="50" spans="1:10">
      <c r="B50" s="404"/>
    </row>
    <row r="51" spans="1:10" ht="32.25" customHeight="1">
      <c r="A51" s="586" t="s">
        <v>1297</v>
      </c>
      <c r="B51" s="586"/>
      <c r="C51" s="586"/>
      <c r="D51" s="586"/>
      <c r="E51" s="586"/>
      <c r="F51" s="586"/>
      <c r="G51" s="586"/>
      <c r="H51" s="586"/>
      <c r="I51" s="586"/>
      <c r="J51" s="586"/>
    </row>
    <row r="53" spans="1:10" ht="12.75" customHeight="1">
      <c r="A53" s="586" t="s">
        <v>1298</v>
      </c>
      <c r="B53" s="586"/>
      <c r="C53" s="586"/>
      <c r="D53" s="586"/>
      <c r="E53" s="586"/>
      <c r="F53" s="586"/>
      <c r="G53" s="586"/>
      <c r="H53" s="586"/>
      <c r="I53" s="586"/>
      <c r="J53" s="586"/>
    </row>
    <row r="55" spans="1:10" ht="58.5" customHeight="1">
      <c r="A55" s="586" t="s">
        <v>1299</v>
      </c>
      <c r="B55" s="586"/>
      <c r="C55" s="586"/>
      <c r="D55" s="586"/>
      <c r="E55" s="586"/>
      <c r="F55" s="586"/>
      <c r="G55" s="586"/>
      <c r="H55" s="586"/>
      <c r="I55" s="586"/>
      <c r="J55" s="586"/>
    </row>
    <row r="56" spans="1:10">
      <c r="B56" s="404"/>
    </row>
    <row r="57" spans="1:10" ht="39" customHeight="1">
      <c r="A57" s="586" t="s">
        <v>1300</v>
      </c>
      <c r="B57" s="586"/>
      <c r="C57" s="586"/>
      <c r="D57" s="586"/>
      <c r="E57" s="586"/>
      <c r="F57" s="586"/>
      <c r="G57" s="586"/>
      <c r="H57" s="586"/>
      <c r="I57" s="586"/>
      <c r="J57" s="586"/>
    </row>
    <row r="59" spans="1:10">
      <c r="H59" s="31"/>
    </row>
    <row r="63" spans="1:10">
      <c r="B63" s="404"/>
    </row>
    <row r="70" spans="2:8">
      <c r="G70" s="413"/>
      <c r="H70" s="31"/>
    </row>
    <row r="71" spans="2:8">
      <c r="G71" s="413"/>
    </row>
    <row r="73" spans="2:8">
      <c r="G73" s="401"/>
      <c r="H73" s="401"/>
    </row>
    <row r="74" spans="2:8">
      <c r="B74" s="404"/>
      <c r="G74" s="401"/>
      <c r="H74" s="401"/>
    </row>
    <row r="76" spans="2:8">
      <c r="H76" s="414"/>
    </row>
    <row r="77" spans="2:8">
      <c r="G77" s="413"/>
    </row>
    <row r="78" spans="2:8">
      <c r="G78" s="413"/>
    </row>
    <row r="81" spans="2:8">
      <c r="B81" s="404"/>
    </row>
    <row r="84" spans="2:8">
      <c r="H84" s="31"/>
    </row>
    <row r="87" spans="2:8">
      <c r="B87" s="404"/>
    </row>
    <row r="88" spans="2:8">
      <c r="B88" s="404"/>
    </row>
    <row r="93" spans="2:8">
      <c r="H93" s="31"/>
    </row>
    <row r="99" spans="2:8">
      <c r="H99" s="32"/>
    </row>
    <row r="103" spans="2:8">
      <c r="B103" s="404"/>
    </row>
    <row r="106" spans="2:8">
      <c r="H106" s="31"/>
    </row>
    <row r="109" spans="2:8">
      <c r="B109" s="404"/>
    </row>
    <row r="111" spans="2:8">
      <c r="H111" s="31"/>
    </row>
    <row r="114" spans="2:8">
      <c r="B114" s="404"/>
    </row>
    <row r="117" spans="2:8">
      <c r="H117" s="31"/>
    </row>
    <row r="120" spans="2:8">
      <c r="H120" s="31"/>
    </row>
  </sheetData>
  <sheetProtection formatCells="0"/>
  <mergeCells count="12">
    <mergeCell ref="A57:J57"/>
    <mergeCell ref="A1:K1"/>
    <mergeCell ref="A2:K2"/>
    <mergeCell ref="A3:K3"/>
    <mergeCell ref="A5:K5"/>
    <mergeCell ref="A6:K6"/>
    <mergeCell ref="A4:K4"/>
    <mergeCell ref="F9:G9"/>
    <mergeCell ref="A49:J49"/>
    <mergeCell ref="A51:J51"/>
    <mergeCell ref="A53:J53"/>
    <mergeCell ref="A55:J55"/>
  </mergeCells>
  <printOptions horizontalCentered="1"/>
  <pageMargins left="0.75" right="0.75" top="1" bottom="1" header="0.5" footer="0.5"/>
  <pageSetup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98C9E-1501-48D6-B159-83F4CA796F90}">
  <sheetPr>
    <pageSetUpPr fitToPage="1"/>
  </sheetPr>
  <dimension ref="A1:K120"/>
  <sheetViews>
    <sheetView topLeftCell="A35" zoomScale="110" zoomScaleNormal="110" zoomScaleSheetLayoutView="100" workbookViewId="0">
      <selection sqref="A1:XFD1048576"/>
    </sheetView>
  </sheetViews>
  <sheetFormatPr defaultColWidth="9.140625" defaultRowHeight="12.75"/>
  <cols>
    <col min="1" max="1" width="5.140625" style="551" customWidth="1"/>
    <col min="2" max="2" width="5" style="401" customWidth="1"/>
    <col min="3" max="3" width="5.28515625" style="401" customWidth="1"/>
    <col min="4" max="4" width="45.7109375" style="401" customWidth="1"/>
    <col min="5" max="6" width="15.85546875" style="401" customWidth="1"/>
    <col min="7" max="7" width="18.28515625" style="405" bestFit="1" customWidth="1"/>
    <col min="8" max="8" width="15.85546875" style="30" customWidth="1"/>
    <col min="9" max="10" width="15.85546875" style="401" customWidth="1"/>
    <col min="11" max="16384" width="9.140625" style="401"/>
  </cols>
  <sheetData>
    <row r="1" spans="1:11">
      <c r="A1" s="587" t="s">
        <v>459</v>
      </c>
      <c r="B1" s="587"/>
      <c r="C1" s="587"/>
      <c r="D1" s="587"/>
      <c r="E1" s="587"/>
      <c r="F1" s="587"/>
      <c r="G1" s="587"/>
      <c r="H1" s="587"/>
      <c r="I1" s="587"/>
      <c r="J1" s="587"/>
      <c r="K1" s="587"/>
    </row>
    <row r="2" spans="1:11">
      <c r="A2" s="587" t="s">
        <v>1038</v>
      </c>
      <c r="B2" s="587"/>
      <c r="C2" s="587"/>
      <c r="D2" s="587"/>
      <c r="E2" s="587"/>
      <c r="F2" s="587"/>
      <c r="G2" s="587"/>
      <c r="H2" s="587"/>
      <c r="I2" s="587"/>
      <c r="J2" s="587"/>
      <c r="K2" s="587"/>
    </row>
    <row r="3" spans="1:11">
      <c r="A3" s="587" t="str">
        <f>'Title Page'!A10</f>
        <v>FOR THE TWELVE MONTHS ENDED DECEMBER 31, 2023</v>
      </c>
      <c r="B3" s="587"/>
      <c r="C3" s="587"/>
      <c r="D3" s="587"/>
      <c r="E3" s="587"/>
      <c r="F3" s="587"/>
      <c r="G3" s="587"/>
      <c r="H3" s="587"/>
      <c r="I3" s="587"/>
      <c r="J3" s="587"/>
      <c r="K3" s="587"/>
    </row>
    <row r="4" spans="1:11">
      <c r="B4" s="551"/>
      <c r="C4" s="551"/>
      <c r="D4" s="551"/>
      <c r="E4" s="551"/>
      <c r="F4" s="551"/>
      <c r="G4" s="551"/>
      <c r="H4" s="551"/>
      <c r="I4" s="551"/>
    </row>
    <row r="5" spans="1:11" ht="15" customHeight="1">
      <c r="A5" s="588" t="s">
        <v>1301</v>
      </c>
      <c r="B5" s="588"/>
      <c r="C5" s="588"/>
      <c r="D5" s="588"/>
      <c r="E5" s="588"/>
      <c r="F5" s="588"/>
      <c r="G5" s="588"/>
      <c r="H5" s="588"/>
      <c r="I5" s="588"/>
      <c r="J5" s="588"/>
      <c r="K5" s="588"/>
    </row>
    <row r="6" spans="1:11">
      <c r="A6" s="588" t="s">
        <v>1266</v>
      </c>
      <c r="B6" s="588"/>
      <c r="C6" s="588"/>
      <c r="D6" s="588"/>
      <c r="E6" s="588"/>
      <c r="F6" s="588"/>
      <c r="G6" s="588"/>
      <c r="H6" s="588"/>
      <c r="I6" s="588"/>
      <c r="J6" s="588"/>
      <c r="K6" s="588"/>
    </row>
    <row r="7" spans="1:11">
      <c r="A7" s="552"/>
      <c r="B7" s="552"/>
      <c r="C7" s="552"/>
      <c r="D7" s="552"/>
      <c r="E7" s="552"/>
      <c r="F7" s="552"/>
      <c r="G7" s="552"/>
      <c r="H7" s="552"/>
    </row>
    <row r="8" spans="1:11">
      <c r="A8" s="552"/>
      <c r="B8" s="552"/>
      <c r="C8" s="552"/>
      <c r="D8" s="552"/>
      <c r="E8" s="552"/>
      <c r="F8" s="552"/>
      <c r="G8" s="551"/>
      <c r="H8" s="552"/>
    </row>
    <row r="9" spans="1:11">
      <c r="E9" s="402"/>
      <c r="F9" s="589" t="s">
        <v>1272</v>
      </c>
      <c r="G9" s="589"/>
      <c r="H9" s="551"/>
      <c r="I9" s="551"/>
      <c r="J9" s="551"/>
    </row>
    <row r="10" spans="1:11" ht="25.5">
      <c r="E10" s="403" t="s">
        <v>1302</v>
      </c>
      <c r="F10" s="403" t="s">
        <v>1274</v>
      </c>
      <c r="G10" s="403" t="s">
        <v>1275</v>
      </c>
      <c r="H10" s="403" t="s">
        <v>1276</v>
      </c>
      <c r="I10" s="403" t="s">
        <v>1277</v>
      </c>
      <c r="J10" s="403" t="s">
        <v>1278</v>
      </c>
    </row>
    <row r="11" spans="1:11">
      <c r="A11" s="551">
        <v>1</v>
      </c>
      <c r="B11" s="404" t="s">
        <v>1002</v>
      </c>
      <c r="H11" s="401"/>
      <c r="I11" s="406"/>
      <c r="J11" s="145"/>
    </row>
    <row r="12" spans="1:11">
      <c r="A12" s="551">
        <f>A11+1</f>
        <v>2</v>
      </c>
      <c r="B12" s="404"/>
      <c r="D12" s="401" t="s">
        <v>1279</v>
      </c>
      <c r="E12" s="407">
        <v>0</v>
      </c>
      <c r="F12" s="407">
        <v>0</v>
      </c>
      <c r="G12" s="407">
        <v>0</v>
      </c>
      <c r="H12" s="407">
        <f>SUM(E12:G12)</f>
        <v>0</v>
      </c>
      <c r="I12" s="406"/>
      <c r="J12" s="145"/>
    </row>
    <row r="13" spans="1:11">
      <c r="A13" s="551">
        <f t="shared" ref="A13:A44" si="0">A12+1</f>
        <v>3</v>
      </c>
      <c r="D13" s="401" t="s">
        <v>399</v>
      </c>
      <c r="E13" s="407">
        <v>0</v>
      </c>
      <c r="F13" s="407">
        <v>0</v>
      </c>
      <c r="G13" s="407">
        <v>0</v>
      </c>
      <c r="H13" s="407">
        <f t="shared" ref="H13:H17" si="1">SUM(E13:G13)</f>
        <v>0</v>
      </c>
      <c r="I13" s="405"/>
      <c r="J13" s="126"/>
    </row>
    <row r="14" spans="1:11">
      <c r="A14" s="551">
        <f t="shared" si="0"/>
        <v>4</v>
      </c>
      <c r="D14" s="401" t="s">
        <v>1280</v>
      </c>
      <c r="E14" s="407">
        <v>0</v>
      </c>
      <c r="F14" s="407">
        <v>0</v>
      </c>
      <c r="G14" s="407">
        <v>0</v>
      </c>
      <c r="H14" s="407">
        <f t="shared" si="1"/>
        <v>0</v>
      </c>
      <c r="I14" s="405"/>
      <c r="J14" s="126"/>
    </row>
    <row r="15" spans="1:11">
      <c r="A15" s="551">
        <f t="shared" si="0"/>
        <v>5</v>
      </c>
      <c r="D15" s="401" t="s">
        <v>400</v>
      </c>
      <c r="E15" s="407">
        <v>0</v>
      </c>
      <c r="F15" s="407">
        <v>0</v>
      </c>
      <c r="G15" s="407">
        <v>0</v>
      </c>
      <c r="H15" s="407">
        <f t="shared" si="1"/>
        <v>0</v>
      </c>
      <c r="I15" s="405"/>
      <c r="J15" s="145"/>
    </row>
    <row r="16" spans="1:11">
      <c r="A16" s="551">
        <f t="shared" si="0"/>
        <v>6</v>
      </c>
      <c r="D16" s="401" t="s">
        <v>401</v>
      </c>
      <c r="E16" s="407">
        <v>0</v>
      </c>
      <c r="F16" s="407">
        <v>0</v>
      </c>
      <c r="G16" s="407">
        <v>0</v>
      </c>
      <c r="H16" s="407">
        <f t="shared" si="1"/>
        <v>0</v>
      </c>
      <c r="I16" s="405"/>
      <c r="J16" s="145"/>
    </row>
    <row r="17" spans="1:10">
      <c r="A17" s="551">
        <f t="shared" si="0"/>
        <v>7</v>
      </c>
      <c r="D17" s="401" t="s">
        <v>402</v>
      </c>
      <c r="E17" s="151">
        <v>0</v>
      </c>
      <c r="F17" s="151">
        <v>0</v>
      </c>
      <c r="G17" s="151">
        <v>0</v>
      </c>
      <c r="H17" s="408">
        <f t="shared" si="1"/>
        <v>0</v>
      </c>
      <c r="I17" s="405"/>
      <c r="J17" s="145"/>
    </row>
    <row r="18" spans="1:10">
      <c r="A18" s="551">
        <f t="shared" si="0"/>
        <v>8</v>
      </c>
      <c r="B18" s="404"/>
      <c r="D18" s="404" t="s">
        <v>1003</v>
      </c>
      <c r="E18" s="159">
        <f>SUM(E13:E17)</f>
        <v>0</v>
      </c>
      <c r="F18" s="159">
        <f>SUM(F13:F17)</f>
        <v>0</v>
      </c>
      <c r="G18" s="159">
        <f>SUM(G13:G17)</f>
        <v>0</v>
      </c>
      <c r="H18" s="160">
        <f>SUM(H13:H17)</f>
        <v>0</v>
      </c>
      <c r="I18" s="406"/>
      <c r="J18" s="162"/>
    </row>
    <row r="19" spans="1:10">
      <c r="A19" s="551">
        <f t="shared" si="0"/>
        <v>9</v>
      </c>
      <c r="B19" s="404"/>
      <c r="D19" s="404"/>
      <c r="E19" s="404"/>
      <c r="F19" s="404"/>
      <c r="G19" s="406"/>
      <c r="H19" s="29"/>
    </row>
    <row r="20" spans="1:10">
      <c r="A20" s="551">
        <f t="shared" si="0"/>
        <v>10</v>
      </c>
      <c r="B20" s="404"/>
      <c r="D20" s="404"/>
      <c r="E20" s="404"/>
      <c r="F20" s="404"/>
      <c r="G20" s="406"/>
      <c r="H20" s="29"/>
    </row>
    <row r="21" spans="1:10">
      <c r="A21" s="551">
        <f t="shared" si="0"/>
        <v>11</v>
      </c>
      <c r="B21" s="404" t="s">
        <v>1281</v>
      </c>
      <c r="D21" s="404"/>
      <c r="E21" s="404"/>
      <c r="F21" s="404"/>
      <c r="G21" s="406"/>
      <c r="H21" s="161" t="s">
        <v>193</v>
      </c>
      <c r="I21" s="553" t="s">
        <v>192</v>
      </c>
      <c r="J21" s="401" t="s">
        <v>1287</v>
      </c>
    </row>
    <row r="22" spans="1:10">
      <c r="A22" s="551">
        <f t="shared" si="0"/>
        <v>12</v>
      </c>
      <c r="D22" s="401" t="s">
        <v>1282</v>
      </c>
      <c r="G22" s="401"/>
      <c r="I22" s="405"/>
    </row>
    <row r="23" spans="1:10">
      <c r="A23" s="551">
        <f t="shared" si="0"/>
        <v>13</v>
      </c>
      <c r="D23" s="401" t="s">
        <v>1283</v>
      </c>
      <c r="G23" s="401"/>
      <c r="I23" s="405"/>
    </row>
    <row r="24" spans="1:10">
      <c r="A24" s="551">
        <f t="shared" si="0"/>
        <v>14</v>
      </c>
      <c r="D24" s="401" t="s">
        <v>1284</v>
      </c>
      <c r="G24" s="401"/>
      <c r="H24" s="145"/>
      <c r="I24" s="405"/>
      <c r="J24" s="409">
        <v>-3</v>
      </c>
    </row>
    <row r="25" spans="1:10">
      <c r="A25" s="551">
        <f t="shared" si="0"/>
        <v>15</v>
      </c>
      <c r="D25" s="401" t="s">
        <v>1285</v>
      </c>
      <c r="G25" s="401"/>
      <c r="H25" s="152"/>
      <c r="I25" s="405"/>
      <c r="J25" s="409">
        <v>-3</v>
      </c>
    </row>
    <row r="26" spans="1:10">
      <c r="A26" s="551">
        <f t="shared" si="0"/>
        <v>16</v>
      </c>
      <c r="D26" s="404" t="s">
        <v>1286</v>
      </c>
      <c r="E26" s="404"/>
      <c r="F26" s="404"/>
      <c r="G26" s="401"/>
      <c r="H26" s="130">
        <f>SUM(H22:H25)</f>
        <v>0</v>
      </c>
      <c r="I26" s="405"/>
    </row>
    <row r="27" spans="1:10">
      <c r="A27" s="551">
        <f t="shared" si="0"/>
        <v>17</v>
      </c>
    </row>
    <row r="28" spans="1:10">
      <c r="A28" s="551">
        <f t="shared" si="0"/>
        <v>18</v>
      </c>
    </row>
    <row r="29" spans="1:10">
      <c r="A29" s="551">
        <f t="shared" si="0"/>
        <v>19</v>
      </c>
      <c r="B29" s="404" t="s">
        <v>1288</v>
      </c>
      <c r="E29" s="551" t="s">
        <v>1289</v>
      </c>
      <c r="F29" s="551" t="s">
        <v>1289</v>
      </c>
      <c r="G29" s="552" t="s">
        <v>1290</v>
      </c>
      <c r="H29" s="551" t="s">
        <v>1289</v>
      </c>
      <c r="I29" s="551" t="s">
        <v>1289</v>
      </c>
      <c r="J29" s="552" t="s">
        <v>1291</v>
      </c>
    </row>
    <row r="30" spans="1:10">
      <c r="A30" s="551">
        <f t="shared" si="0"/>
        <v>20</v>
      </c>
      <c r="D30" s="553" t="s">
        <v>36</v>
      </c>
      <c r="E30" s="403" t="s">
        <v>1292</v>
      </c>
      <c r="F30" s="553" t="s">
        <v>1293</v>
      </c>
      <c r="G30" s="553" t="s">
        <v>1005</v>
      </c>
      <c r="H30" s="403" t="s">
        <v>1292</v>
      </c>
      <c r="I30" s="553" t="s">
        <v>1293</v>
      </c>
      <c r="J30" s="553" t="s">
        <v>1005</v>
      </c>
    </row>
    <row r="31" spans="1:10" ht="15" customHeight="1">
      <c r="A31" s="551">
        <f t="shared" si="0"/>
        <v>21</v>
      </c>
      <c r="D31" s="401" t="s">
        <v>1008</v>
      </c>
      <c r="E31" s="410"/>
      <c r="F31" s="551"/>
      <c r="G31" s="131">
        <v>0</v>
      </c>
      <c r="H31" s="401"/>
      <c r="I31" s="551"/>
      <c r="J31" s="131">
        <v>0</v>
      </c>
    </row>
    <row r="32" spans="1:10" ht="15" customHeight="1">
      <c r="A32" s="551">
        <f t="shared" si="0"/>
        <v>22</v>
      </c>
      <c r="C32" s="411"/>
      <c r="D32" s="412"/>
      <c r="E32" s="551"/>
      <c r="F32" s="127">
        <v>0</v>
      </c>
      <c r="G32" s="84">
        <f>G31+F32</f>
        <v>0</v>
      </c>
      <c r="H32" s="401"/>
      <c r="I32" s="127">
        <v>0</v>
      </c>
      <c r="J32" s="84">
        <f>J31+I32</f>
        <v>0</v>
      </c>
    </row>
    <row r="33" spans="1:10">
      <c r="A33" s="551">
        <f t="shared" si="0"/>
        <v>23</v>
      </c>
      <c r="D33" s="412"/>
      <c r="E33" s="80"/>
      <c r="F33" s="127">
        <v>0</v>
      </c>
      <c r="G33" s="84">
        <f>G32+F33</f>
        <v>0</v>
      </c>
      <c r="H33" s="401"/>
      <c r="I33" s="127">
        <v>0</v>
      </c>
      <c r="J33" s="84">
        <f t="shared" ref="J33:J35" si="2">J32+I33</f>
        <v>0</v>
      </c>
    </row>
    <row r="34" spans="1:10">
      <c r="A34" s="551">
        <f t="shared" si="0"/>
        <v>24</v>
      </c>
      <c r="D34" s="412"/>
      <c r="E34" s="80"/>
      <c r="F34" s="127">
        <v>0</v>
      </c>
      <c r="G34" s="84">
        <f>G33+F34</f>
        <v>0</v>
      </c>
      <c r="I34" s="127">
        <v>0</v>
      </c>
      <c r="J34" s="84">
        <f t="shared" si="2"/>
        <v>0</v>
      </c>
    </row>
    <row r="35" spans="1:10">
      <c r="A35" s="551">
        <f t="shared" si="0"/>
        <v>25</v>
      </c>
      <c r="D35" s="412"/>
      <c r="E35" s="80"/>
      <c r="F35" s="127">
        <v>0</v>
      </c>
      <c r="G35" s="84">
        <f>G34+F35</f>
        <v>0</v>
      </c>
      <c r="I35" s="127">
        <v>0</v>
      </c>
      <c r="J35" s="84">
        <f t="shared" si="2"/>
        <v>0</v>
      </c>
    </row>
    <row r="36" spans="1:10">
      <c r="A36" s="551">
        <f t="shared" si="0"/>
        <v>26</v>
      </c>
    </row>
    <row r="37" spans="1:10">
      <c r="A37" s="551">
        <f t="shared" si="0"/>
        <v>27</v>
      </c>
    </row>
    <row r="38" spans="1:10">
      <c r="A38" s="551">
        <f t="shared" si="0"/>
        <v>28</v>
      </c>
      <c r="B38" s="404" t="s">
        <v>1004</v>
      </c>
      <c r="E38" s="551" t="s">
        <v>1289</v>
      </c>
      <c r="F38" s="551" t="s">
        <v>1289</v>
      </c>
      <c r="G38" s="552" t="s">
        <v>1290</v>
      </c>
      <c r="H38" s="551" t="s">
        <v>1289</v>
      </c>
      <c r="I38" s="551" t="s">
        <v>1289</v>
      </c>
      <c r="J38" s="552" t="s">
        <v>1291</v>
      </c>
    </row>
    <row r="39" spans="1:10">
      <c r="A39" s="551">
        <f t="shared" si="0"/>
        <v>29</v>
      </c>
      <c r="D39" s="553" t="s">
        <v>36</v>
      </c>
      <c r="E39" s="403" t="s">
        <v>1294</v>
      </c>
      <c r="F39" s="553" t="s">
        <v>1295</v>
      </c>
      <c r="G39" s="553" t="s">
        <v>1005</v>
      </c>
      <c r="H39" s="403" t="s">
        <v>1294</v>
      </c>
      <c r="I39" s="553" t="s">
        <v>1295</v>
      </c>
      <c r="J39" s="553" t="s">
        <v>1005</v>
      </c>
    </row>
    <row r="40" spans="1:10" ht="15" customHeight="1">
      <c r="A40" s="551">
        <f t="shared" si="0"/>
        <v>30</v>
      </c>
      <c r="D40" s="401" t="s">
        <v>1008</v>
      </c>
      <c r="E40" s="410"/>
      <c r="F40" s="551"/>
      <c r="G40" s="131">
        <v>0</v>
      </c>
      <c r="H40" s="401"/>
      <c r="I40" s="551"/>
      <c r="J40" s="131">
        <v>0</v>
      </c>
    </row>
    <row r="41" spans="1:10" ht="15" customHeight="1">
      <c r="A41" s="551">
        <f t="shared" si="0"/>
        <v>31</v>
      </c>
      <c r="C41" s="411"/>
      <c r="D41" s="412"/>
      <c r="E41" s="551"/>
      <c r="F41" s="127">
        <v>0</v>
      </c>
      <c r="G41" s="30">
        <f>G40+F41</f>
        <v>0</v>
      </c>
      <c r="H41" s="401"/>
      <c r="I41" s="127">
        <v>0</v>
      </c>
      <c r="J41" s="84">
        <f>J40+I41</f>
        <v>0</v>
      </c>
    </row>
    <row r="42" spans="1:10">
      <c r="A42" s="551">
        <f t="shared" si="0"/>
        <v>32</v>
      </c>
      <c r="D42" s="412"/>
      <c r="E42" s="80"/>
      <c r="F42" s="127">
        <v>0</v>
      </c>
      <c r="G42" s="84">
        <f>G41+F42</f>
        <v>0</v>
      </c>
      <c r="H42" s="401"/>
      <c r="I42" s="127">
        <v>0</v>
      </c>
      <c r="J42" s="84">
        <f t="shared" ref="J42:J44" si="3">J41+I42</f>
        <v>0</v>
      </c>
    </row>
    <row r="43" spans="1:10">
      <c r="A43" s="551">
        <f t="shared" si="0"/>
        <v>33</v>
      </c>
      <c r="D43" s="412"/>
      <c r="E43" s="80"/>
      <c r="F43" s="127">
        <v>0</v>
      </c>
      <c r="G43" s="84">
        <f>G42+F43</f>
        <v>0</v>
      </c>
      <c r="I43" s="127">
        <v>0</v>
      </c>
      <c r="J43" s="84">
        <f t="shared" si="3"/>
        <v>0</v>
      </c>
    </row>
    <row r="44" spans="1:10">
      <c r="A44" s="551">
        <f t="shared" si="0"/>
        <v>34</v>
      </c>
      <c r="D44" s="412"/>
      <c r="E44" s="80"/>
      <c r="F44" s="127">
        <v>0</v>
      </c>
      <c r="G44" s="84">
        <f>G43+F44</f>
        <v>0</v>
      </c>
      <c r="I44" s="127">
        <v>0</v>
      </c>
      <c r="J44" s="84">
        <f t="shared" si="3"/>
        <v>0</v>
      </c>
    </row>
    <row r="48" spans="1:10" ht="42" customHeight="1">
      <c r="A48" s="586" t="s">
        <v>1303</v>
      </c>
      <c r="B48" s="586"/>
      <c r="C48" s="586"/>
      <c r="D48" s="586"/>
      <c r="E48" s="586"/>
      <c r="F48" s="586"/>
      <c r="G48" s="586"/>
      <c r="H48" s="586"/>
      <c r="I48" s="586"/>
      <c r="J48" s="586"/>
    </row>
    <row r="49" spans="1:10">
      <c r="B49" s="404"/>
    </row>
    <row r="50" spans="1:10" ht="30" customHeight="1">
      <c r="A50" s="586" t="s">
        <v>1304</v>
      </c>
      <c r="B50" s="586"/>
      <c r="C50" s="586"/>
      <c r="D50" s="586"/>
      <c r="E50" s="586"/>
      <c r="F50" s="586"/>
      <c r="G50" s="586"/>
      <c r="H50" s="586"/>
      <c r="I50" s="586"/>
      <c r="J50" s="586"/>
    </row>
    <row r="52" spans="1:10" ht="12.75" customHeight="1">
      <c r="A52" s="586" t="s">
        <v>1298</v>
      </c>
      <c r="B52" s="586"/>
      <c r="C52" s="586"/>
      <c r="D52" s="586"/>
      <c r="E52" s="586"/>
      <c r="F52" s="586"/>
      <c r="G52" s="586"/>
      <c r="H52" s="586"/>
      <c r="I52" s="586"/>
      <c r="J52" s="586"/>
    </row>
    <row r="54" spans="1:10" ht="30.75" customHeight="1">
      <c r="A54" s="586" t="s">
        <v>1305</v>
      </c>
      <c r="B54" s="586"/>
      <c r="C54" s="586"/>
      <c r="D54" s="586"/>
      <c r="E54" s="586"/>
      <c r="F54" s="586"/>
      <c r="G54" s="586"/>
      <c r="H54" s="586"/>
      <c r="I54" s="586"/>
      <c r="J54" s="586"/>
    </row>
    <row r="55" spans="1:10">
      <c r="B55" s="404"/>
    </row>
    <row r="56" spans="1:10" ht="33" customHeight="1">
      <c r="A56" s="586" t="s">
        <v>1306</v>
      </c>
      <c r="B56" s="586"/>
      <c r="C56" s="586"/>
      <c r="D56" s="586"/>
      <c r="E56" s="586"/>
      <c r="F56" s="586"/>
      <c r="G56" s="586"/>
      <c r="H56" s="586"/>
      <c r="I56" s="586"/>
      <c r="J56" s="586"/>
    </row>
    <row r="57" spans="1:10">
      <c r="B57" s="404"/>
    </row>
    <row r="59" spans="1:10">
      <c r="H59" s="31"/>
    </row>
    <row r="63" spans="1:10">
      <c r="B63" s="404"/>
    </row>
    <row r="70" spans="2:8">
      <c r="G70" s="413"/>
      <c r="H70" s="31"/>
    </row>
    <row r="71" spans="2:8">
      <c r="G71" s="413"/>
    </row>
    <row r="73" spans="2:8">
      <c r="G73" s="401"/>
      <c r="H73" s="401"/>
    </row>
    <row r="74" spans="2:8">
      <c r="B74" s="404"/>
      <c r="G74" s="401"/>
      <c r="H74" s="401"/>
    </row>
    <row r="76" spans="2:8">
      <c r="H76" s="414"/>
    </row>
    <row r="77" spans="2:8">
      <c r="G77" s="413"/>
    </row>
    <row r="78" spans="2:8">
      <c r="G78" s="413"/>
    </row>
    <row r="81" spans="2:8">
      <c r="B81" s="404"/>
    </row>
    <row r="84" spans="2:8">
      <c r="H84" s="31"/>
    </row>
    <row r="87" spans="2:8">
      <c r="B87" s="404"/>
    </row>
    <row r="88" spans="2:8">
      <c r="B88" s="404"/>
    </row>
    <row r="93" spans="2:8">
      <c r="H93" s="31"/>
    </row>
    <row r="99" spans="2:8">
      <c r="H99" s="32"/>
    </row>
    <row r="103" spans="2:8">
      <c r="B103" s="404"/>
    </row>
    <row r="106" spans="2:8">
      <c r="H106" s="31"/>
    </row>
    <row r="109" spans="2:8">
      <c r="B109" s="404"/>
    </row>
    <row r="111" spans="2:8">
      <c r="H111" s="31"/>
    </row>
    <row r="114" spans="2:8">
      <c r="B114" s="404"/>
    </row>
    <row r="117" spans="2:8">
      <c r="H117" s="31"/>
    </row>
    <row r="120" spans="2:8">
      <c r="H120" s="31"/>
    </row>
  </sheetData>
  <sheetProtection formatCells="0"/>
  <mergeCells count="11">
    <mergeCell ref="F9:G9"/>
    <mergeCell ref="A1:K1"/>
    <mergeCell ref="A2:K2"/>
    <mergeCell ref="A3:K3"/>
    <mergeCell ref="A5:K5"/>
    <mergeCell ref="A6:K6"/>
    <mergeCell ref="A48:J48"/>
    <mergeCell ref="A50:J50"/>
    <mergeCell ref="A52:J52"/>
    <mergeCell ref="A54:J54"/>
    <mergeCell ref="A56:J56"/>
  </mergeCells>
  <printOptions horizontalCentered="1"/>
  <pageMargins left="0.75" right="0.75" top="1" bottom="1" header="0.5" footer="0.5"/>
  <pageSetup scale="6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G63"/>
  <sheetViews>
    <sheetView topLeftCell="A37" zoomScale="130" zoomScaleNormal="130" zoomScaleSheetLayoutView="100" workbookViewId="0">
      <selection sqref="A1:XFD1048576"/>
    </sheetView>
  </sheetViews>
  <sheetFormatPr defaultColWidth="9.140625" defaultRowHeight="12.75"/>
  <cols>
    <col min="1" max="1" width="9.28515625" style="193" bestFit="1" customWidth="1"/>
    <col min="2" max="2" width="3.85546875" style="193" customWidth="1"/>
    <col min="3" max="3" width="56.42578125" style="193" customWidth="1"/>
    <col min="4" max="4" width="4.42578125" style="193" customWidth="1"/>
    <col min="5" max="5" width="13.28515625" style="126" customWidth="1"/>
    <col min="6" max="6" width="9.140625" style="193"/>
    <col min="7" max="7" width="11.28515625" style="193" bestFit="1" customWidth="1"/>
    <col min="8" max="16384" width="9.140625" style="193"/>
  </cols>
  <sheetData>
    <row r="1" spans="1:6">
      <c r="A1" s="563" t="s">
        <v>459</v>
      </c>
      <c r="B1" s="563"/>
      <c r="C1" s="563"/>
      <c r="D1" s="563"/>
      <c r="E1" s="563"/>
      <c r="F1" s="563"/>
    </row>
    <row r="2" spans="1:6">
      <c r="A2" s="563" t="s">
        <v>1038</v>
      </c>
      <c r="B2" s="563"/>
      <c r="C2" s="563"/>
      <c r="D2" s="563"/>
      <c r="E2" s="563"/>
      <c r="F2" s="563"/>
    </row>
    <row r="3" spans="1:6">
      <c r="A3" s="563" t="str">
        <f>'Title Page'!A10</f>
        <v>FOR THE TWELVE MONTHS ENDED DECEMBER 31, 2023</v>
      </c>
      <c r="B3" s="563"/>
      <c r="C3" s="563"/>
      <c r="D3" s="563"/>
      <c r="E3" s="563"/>
      <c r="F3" s="563"/>
    </row>
    <row r="5" spans="1:6">
      <c r="A5" s="564" t="s">
        <v>513</v>
      </c>
      <c r="B5" s="564"/>
      <c r="C5" s="564"/>
      <c r="D5" s="564"/>
      <c r="E5" s="564"/>
      <c r="F5" s="564"/>
    </row>
    <row r="6" spans="1:6">
      <c r="A6" s="564" t="s">
        <v>514</v>
      </c>
      <c r="B6" s="564"/>
      <c r="C6" s="564"/>
      <c r="D6" s="564"/>
      <c r="E6" s="564"/>
      <c r="F6" s="564"/>
    </row>
    <row r="8" spans="1:6">
      <c r="A8" s="540">
        <v>1</v>
      </c>
      <c r="B8" s="295" t="s">
        <v>515</v>
      </c>
      <c r="C8" s="264"/>
      <c r="D8" s="264"/>
      <c r="E8" s="125"/>
    </row>
    <row r="9" spans="1:6">
      <c r="A9" s="540">
        <f>A8+1</f>
        <v>2</v>
      </c>
      <c r="C9" s="193" t="s">
        <v>516</v>
      </c>
      <c r="E9" s="140">
        <v>6453.9800000000005</v>
      </c>
    </row>
    <row r="10" spans="1:6">
      <c r="A10" s="540">
        <f t="shared" ref="A10:A63" si="0">A9+1</f>
        <v>3</v>
      </c>
      <c r="C10" s="193" t="s">
        <v>517</v>
      </c>
      <c r="E10" s="140">
        <v>608.51</v>
      </c>
    </row>
    <row r="11" spans="1:6">
      <c r="A11" s="540">
        <f t="shared" si="0"/>
        <v>4</v>
      </c>
      <c r="C11" s="193" t="s">
        <v>518</v>
      </c>
      <c r="E11" s="140">
        <v>0</v>
      </c>
    </row>
    <row r="12" spans="1:6">
      <c r="A12" s="540">
        <f t="shared" si="0"/>
        <v>5</v>
      </c>
      <c r="C12" s="193" t="s">
        <v>519</v>
      </c>
      <c r="E12" s="140">
        <v>0</v>
      </c>
    </row>
    <row r="13" spans="1:6">
      <c r="A13" s="540">
        <f t="shared" si="0"/>
        <v>6</v>
      </c>
      <c r="C13" s="193" t="s">
        <v>523</v>
      </c>
      <c r="E13" s="140">
        <v>1509.6599999999999</v>
      </c>
    </row>
    <row r="14" spans="1:6">
      <c r="A14" s="540">
        <f t="shared" si="0"/>
        <v>7</v>
      </c>
      <c r="C14" s="193" t="s">
        <v>524</v>
      </c>
      <c r="E14" s="140">
        <v>209.54000000000002</v>
      </c>
    </row>
    <row r="15" spans="1:6">
      <c r="A15" s="540">
        <f t="shared" si="0"/>
        <v>8</v>
      </c>
      <c r="C15" s="193" t="s">
        <v>525</v>
      </c>
      <c r="E15" s="140">
        <v>829.02</v>
      </c>
    </row>
    <row r="16" spans="1:6">
      <c r="A16" s="540">
        <f t="shared" si="0"/>
        <v>9</v>
      </c>
      <c r="C16" s="193" t="s">
        <v>526</v>
      </c>
      <c r="E16" s="140">
        <v>1500.27</v>
      </c>
    </row>
    <row r="17" spans="1:5">
      <c r="A17" s="540">
        <f t="shared" si="0"/>
        <v>10</v>
      </c>
      <c r="C17" s="193" t="s">
        <v>527</v>
      </c>
      <c r="E17" s="140">
        <v>5056.0000000000009</v>
      </c>
    </row>
    <row r="18" spans="1:5">
      <c r="A18" s="540">
        <f t="shared" si="0"/>
        <v>11</v>
      </c>
      <c r="C18" s="193" t="s">
        <v>528</v>
      </c>
      <c r="E18" s="140">
        <v>0</v>
      </c>
    </row>
    <row r="19" spans="1:5">
      <c r="A19" s="540">
        <f t="shared" si="0"/>
        <v>12</v>
      </c>
      <c r="C19" s="193" t="s">
        <v>529</v>
      </c>
      <c r="E19" s="140">
        <v>2900.8</v>
      </c>
    </row>
    <row r="20" spans="1:5">
      <c r="A20" s="540">
        <f t="shared" si="0"/>
        <v>13</v>
      </c>
      <c r="C20" s="193" t="s">
        <v>530</v>
      </c>
      <c r="E20" s="140">
        <v>0</v>
      </c>
    </row>
    <row r="21" spans="1:5">
      <c r="A21" s="540">
        <f t="shared" si="0"/>
        <v>14</v>
      </c>
      <c r="C21" s="193" t="s">
        <v>531</v>
      </c>
      <c r="E21" s="140">
        <v>0</v>
      </c>
    </row>
    <row r="22" spans="1:5">
      <c r="A22" s="540">
        <f t="shared" si="0"/>
        <v>15</v>
      </c>
      <c r="C22" s="193" t="s">
        <v>532</v>
      </c>
      <c r="E22" s="140">
        <v>0</v>
      </c>
    </row>
    <row r="23" spans="1:5">
      <c r="A23" s="540">
        <f t="shared" si="0"/>
        <v>16</v>
      </c>
      <c r="C23" s="193" t="s">
        <v>533</v>
      </c>
      <c r="E23" s="140">
        <v>0</v>
      </c>
    </row>
    <row r="24" spans="1:5">
      <c r="A24" s="540">
        <f t="shared" si="0"/>
        <v>17</v>
      </c>
      <c r="C24" s="193" t="s">
        <v>534</v>
      </c>
      <c r="E24" s="140">
        <v>216.8</v>
      </c>
    </row>
    <row r="25" spans="1:5">
      <c r="A25" s="540">
        <f t="shared" si="0"/>
        <v>18</v>
      </c>
      <c r="C25" s="193" t="s">
        <v>535</v>
      </c>
      <c r="E25" s="140">
        <v>0</v>
      </c>
    </row>
    <row r="26" spans="1:5">
      <c r="A26" s="540">
        <f t="shared" si="0"/>
        <v>19</v>
      </c>
      <c r="C26" s="193" t="s">
        <v>536</v>
      </c>
      <c r="E26" s="140">
        <v>327.54000000000002</v>
      </c>
    </row>
    <row r="27" spans="1:5">
      <c r="A27" s="540">
        <f t="shared" si="0"/>
        <v>20</v>
      </c>
      <c r="C27" s="193" t="s">
        <v>537</v>
      </c>
      <c r="E27" s="140">
        <v>0</v>
      </c>
    </row>
    <row r="28" spans="1:5">
      <c r="A28" s="540">
        <f t="shared" si="0"/>
        <v>21</v>
      </c>
      <c r="C28" s="193" t="s">
        <v>538</v>
      </c>
      <c r="E28" s="140">
        <v>2640.08</v>
      </c>
    </row>
    <row r="29" spans="1:5">
      <c r="A29" s="540">
        <f t="shared" si="0"/>
        <v>22</v>
      </c>
      <c r="C29" s="193" t="s">
        <v>539</v>
      </c>
      <c r="E29" s="140">
        <v>0</v>
      </c>
    </row>
    <row r="30" spans="1:5">
      <c r="A30" s="540">
        <f t="shared" si="0"/>
        <v>23</v>
      </c>
      <c r="C30" s="193" t="s">
        <v>540</v>
      </c>
      <c r="E30" s="140">
        <v>2894.77</v>
      </c>
    </row>
    <row r="31" spans="1:5">
      <c r="A31" s="540">
        <f t="shared" si="0"/>
        <v>24</v>
      </c>
      <c r="C31" s="193" t="s">
        <v>541</v>
      </c>
      <c r="E31" s="140">
        <v>1023.0400000000001</v>
      </c>
    </row>
    <row r="32" spans="1:5">
      <c r="A32" s="540">
        <f t="shared" si="0"/>
        <v>25</v>
      </c>
      <c r="C32" s="193" t="s">
        <v>542</v>
      </c>
      <c r="E32" s="140">
        <v>2072.0500000000002</v>
      </c>
    </row>
    <row r="33" spans="1:5">
      <c r="A33" s="540">
        <f t="shared" si="0"/>
        <v>26</v>
      </c>
      <c r="C33" s="193" t="s">
        <v>543</v>
      </c>
      <c r="E33" s="140">
        <v>0</v>
      </c>
    </row>
    <row r="34" spans="1:5">
      <c r="A34" s="540">
        <f t="shared" si="0"/>
        <v>27</v>
      </c>
      <c r="C34" s="193" t="s">
        <v>544</v>
      </c>
      <c r="E34" s="140">
        <v>0</v>
      </c>
    </row>
    <row r="35" spans="1:5">
      <c r="A35" s="540">
        <f t="shared" si="0"/>
        <v>28</v>
      </c>
      <c r="C35" s="193" t="s">
        <v>545</v>
      </c>
      <c r="E35" s="140">
        <v>0</v>
      </c>
    </row>
    <row r="36" spans="1:5">
      <c r="A36" s="540">
        <f t="shared" si="0"/>
        <v>29</v>
      </c>
      <c r="C36" s="193" t="s">
        <v>546</v>
      </c>
      <c r="E36" s="140">
        <v>0</v>
      </c>
    </row>
    <row r="37" spans="1:5">
      <c r="A37" s="540">
        <f t="shared" si="0"/>
        <v>30</v>
      </c>
      <c r="C37" s="193" t="s">
        <v>547</v>
      </c>
      <c r="E37" s="140">
        <v>0</v>
      </c>
    </row>
    <row r="38" spans="1:5">
      <c r="A38" s="540">
        <f t="shared" si="0"/>
        <v>31</v>
      </c>
      <c r="C38" s="193" t="s">
        <v>548</v>
      </c>
      <c r="E38" s="140">
        <v>149077.74</v>
      </c>
    </row>
    <row r="39" spans="1:5">
      <c r="A39" s="540">
        <f t="shared" si="0"/>
        <v>32</v>
      </c>
      <c r="C39" s="193" t="s">
        <v>549</v>
      </c>
      <c r="E39" s="140">
        <v>0</v>
      </c>
    </row>
    <row r="40" spans="1:5">
      <c r="A40" s="540">
        <f t="shared" si="0"/>
        <v>33</v>
      </c>
      <c r="C40" s="193" t="s">
        <v>550</v>
      </c>
      <c r="E40" s="140">
        <v>299.07</v>
      </c>
    </row>
    <row r="41" spans="1:5">
      <c r="A41" s="540">
        <f t="shared" si="0"/>
        <v>34</v>
      </c>
      <c r="C41" s="193" t="s">
        <v>551</v>
      </c>
      <c r="E41" s="140">
        <v>0</v>
      </c>
    </row>
    <row r="42" spans="1:5">
      <c r="A42" s="540">
        <f t="shared" si="0"/>
        <v>35</v>
      </c>
      <c r="C42" s="193" t="s">
        <v>552</v>
      </c>
      <c r="E42" s="140">
        <v>0</v>
      </c>
    </row>
    <row r="43" spans="1:5">
      <c r="A43" s="540">
        <f t="shared" si="0"/>
        <v>36</v>
      </c>
      <c r="C43" s="193" t="s">
        <v>553</v>
      </c>
      <c r="E43" s="140">
        <v>0</v>
      </c>
    </row>
    <row r="44" spans="1:5">
      <c r="A44" s="540">
        <f t="shared" si="0"/>
        <v>37</v>
      </c>
      <c r="C44" s="193" t="s">
        <v>554</v>
      </c>
      <c r="E44" s="140">
        <v>0</v>
      </c>
    </row>
    <row r="45" spans="1:5">
      <c r="A45" s="540">
        <f t="shared" si="0"/>
        <v>38</v>
      </c>
      <c r="C45" s="193" t="s">
        <v>555</v>
      </c>
      <c r="E45" s="140">
        <v>0</v>
      </c>
    </row>
    <row r="46" spans="1:5">
      <c r="A46" s="540">
        <f t="shared" si="0"/>
        <v>39</v>
      </c>
      <c r="C46" s="193" t="s">
        <v>556</v>
      </c>
      <c r="E46" s="140">
        <v>1385.75</v>
      </c>
    </row>
    <row r="47" spans="1:5">
      <c r="A47" s="540">
        <f t="shared" si="0"/>
        <v>40</v>
      </c>
      <c r="C47" s="193" t="s">
        <v>861</v>
      </c>
      <c r="E47" s="140">
        <v>0</v>
      </c>
    </row>
    <row r="48" spans="1:5">
      <c r="A48" s="540">
        <f t="shared" si="0"/>
        <v>41</v>
      </c>
      <c r="C48" s="193" t="s">
        <v>854</v>
      </c>
      <c r="E48" s="151">
        <v>0</v>
      </c>
    </row>
    <row r="49" spans="1:7">
      <c r="A49" s="540">
        <f t="shared" si="0"/>
        <v>42</v>
      </c>
      <c r="C49" s="250" t="s">
        <v>557</v>
      </c>
      <c r="D49" s="250"/>
      <c r="E49" s="126">
        <f>SUM(E9:E48)</f>
        <v>179004.62</v>
      </c>
    </row>
    <row r="50" spans="1:7">
      <c r="A50" s="540">
        <f t="shared" si="0"/>
        <v>43</v>
      </c>
    </row>
    <row r="51" spans="1:7">
      <c r="A51" s="540">
        <f t="shared" si="0"/>
        <v>44</v>
      </c>
      <c r="B51" s="295" t="s">
        <v>786</v>
      </c>
    </row>
    <row r="52" spans="1:7">
      <c r="A52" s="540">
        <f t="shared" si="0"/>
        <v>45</v>
      </c>
      <c r="C52" s="193" t="s">
        <v>803</v>
      </c>
      <c r="E52" s="127">
        <v>0</v>
      </c>
    </row>
    <row r="53" spans="1:7">
      <c r="A53" s="540">
        <f t="shared" si="0"/>
        <v>46</v>
      </c>
      <c r="C53" s="193" t="s">
        <v>804</v>
      </c>
      <c r="E53" s="126">
        <v>5505.3166666666666</v>
      </c>
    </row>
    <row r="54" spans="1:7">
      <c r="A54" s="540">
        <f t="shared" si="0"/>
        <v>47</v>
      </c>
      <c r="C54" s="193" t="s">
        <v>805</v>
      </c>
      <c r="E54" s="126">
        <v>489</v>
      </c>
    </row>
    <row r="55" spans="1:7">
      <c r="A55" s="540">
        <f t="shared" si="0"/>
        <v>48</v>
      </c>
      <c r="C55" s="193" t="s">
        <v>806</v>
      </c>
      <c r="E55" s="126">
        <v>22470.526666666668</v>
      </c>
    </row>
    <row r="56" spans="1:7">
      <c r="A56" s="540">
        <f t="shared" si="0"/>
        <v>49</v>
      </c>
      <c r="C56" s="193" t="s">
        <v>807</v>
      </c>
      <c r="E56" s="126">
        <v>468</v>
      </c>
    </row>
    <row r="57" spans="1:7">
      <c r="A57" s="540">
        <f t="shared" si="0"/>
        <v>50</v>
      </c>
      <c r="C57" s="193" t="s">
        <v>808</v>
      </c>
      <c r="E57" s="399">
        <v>2349.09</v>
      </c>
    </row>
    <row r="58" spans="1:7">
      <c r="A58" s="540">
        <f t="shared" si="0"/>
        <v>51</v>
      </c>
      <c r="C58" s="250" t="s">
        <v>557</v>
      </c>
      <c r="E58" s="126">
        <f>SUM(E52:E57)</f>
        <v>31281.933333333334</v>
      </c>
      <c r="G58" s="255"/>
    </row>
    <row r="59" spans="1:7">
      <c r="A59" s="540">
        <f t="shared" si="0"/>
        <v>52</v>
      </c>
      <c r="B59" s="264"/>
    </row>
    <row r="60" spans="1:7">
      <c r="A60" s="540">
        <f t="shared" si="0"/>
        <v>53</v>
      </c>
      <c r="B60" s="264" t="s">
        <v>381</v>
      </c>
      <c r="E60" s="128">
        <f>E49+E58</f>
        <v>210286.55333333334</v>
      </c>
    </row>
    <row r="61" spans="1:7">
      <c r="A61" s="540">
        <f t="shared" si="0"/>
        <v>54</v>
      </c>
    </row>
    <row r="62" spans="1:7">
      <c r="A62" s="540">
        <f t="shared" si="0"/>
        <v>55</v>
      </c>
      <c r="B62" s="400">
        <v>-1</v>
      </c>
      <c r="C62" s="193" t="s">
        <v>820</v>
      </c>
      <c r="E62" s="129"/>
    </row>
    <row r="63" spans="1:7">
      <c r="A63" s="540">
        <f t="shared" si="0"/>
        <v>56</v>
      </c>
      <c r="C63" s="263" t="s">
        <v>819</v>
      </c>
      <c r="E63" s="129"/>
    </row>
  </sheetData>
  <sheetProtection formatCells="0"/>
  <mergeCells count="5">
    <mergeCell ref="A1:F1"/>
    <mergeCell ref="A2:F2"/>
    <mergeCell ref="A3:F3"/>
    <mergeCell ref="A5:F5"/>
    <mergeCell ref="A6:F6"/>
  </mergeCells>
  <phoneticPr fontId="18" type="noConversion"/>
  <printOptions horizontalCentered="1"/>
  <pageMargins left="0.75" right="0.75" top="1" bottom="1" header="0.5" footer="0.5"/>
  <pageSetup scale="7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J63"/>
  <sheetViews>
    <sheetView zoomScaleNormal="100" zoomScaleSheetLayoutView="100" workbookViewId="0">
      <selection sqref="A1:XFD1048576"/>
    </sheetView>
  </sheetViews>
  <sheetFormatPr defaultColWidth="9.140625" defaultRowHeight="12.75"/>
  <cols>
    <col min="1" max="1" width="9.140625" style="193"/>
    <col min="2" max="2" width="2.7109375" style="540" customWidth="1"/>
    <col min="3" max="3" width="31.42578125" style="193" bestFit="1" customWidth="1"/>
    <col min="4" max="4" width="4.42578125" style="193" customWidth="1"/>
    <col min="5" max="5" width="13.28515625" style="10" customWidth="1"/>
    <col min="6" max="6" width="13.28515625" style="193" bestFit="1" customWidth="1"/>
    <col min="7" max="7" width="9.5703125" style="193" customWidth="1"/>
    <col min="8" max="9" width="9.140625" style="193"/>
    <col min="10" max="10" width="10.28515625" style="193" bestFit="1" customWidth="1"/>
    <col min="11" max="16384" width="9.140625" style="193"/>
  </cols>
  <sheetData>
    <row r="1" spans="1:7">
      <c r="A1" s="563" t="s">
        <v>459</v>
      </c>
      <c r="B1" s="563"/>
      <c r="C1" s="563"/>
      <c r="D1" s="563"/>
      <c r="E1" s="563"/>
      <c r="F1" s="563"/>
      <c r="G1" s="563"/>
    </row>
    <row r="2" spans="1:7">
      <c r="A2" s="563" t="s">
        <v>1038</v>
      </c>
      <c r="B2" s="563"/>
      <c r="C2" s="563"/>
      <c r="D2" s="563"/>
      <c r="E2" s="563"/>
      <c r="F2" s="563"/>
      <c r="G2" s="563"/>
    </row>
    <row r="3" spans="1:7">
      <c r="A3" s="563" t="str">
        <f>'Title Page'!A10</f>
        <v>FOR THE TWELVE MONTHS ENDED DECEMBER 31, 2023</v>
      </c>
      <c r="B3" s="563"/>
      <c r="C3" s="563"/>
      <c r="D3" s="563"/>
      <c r="E3" s="563"/>
      <c r="F3" s="563"/>
      <c r="G3" s="563"/>
    </row>
    <row r="5" spans="1:7">
      <c r="A5" s="564" t="s">
        <v>558</v>
      </c>
      <c r="B5" s="564"/>
      <c r="C5" s="564"/>
      <c r="D5" s="564"/>
      <c r="E5" s="564"/>
      <c r="F5" s="564"/>
      <c r="G5" s="564"/>
    </row>
    <row r="6" spans="1:7">
      <c r="A6" s="564" t="s">
        <v>559</v>
      </c>
      <c r="B6" s="564"/>
      <c r="C6" s="564"/>
      <c r="D6" s="564"/>
      <c r="E6" s="564"/>
      <c r="F6" s="564"/>
      <c r="G6" s="564"/>
    </row>
    <row r="8" spans="1:7">
      <c r="A8" s="540"/>
      <c r="B8" s="265"/>
      <c r="C8" s="395"/>
      <c r="D8" s="395"/>
      <c r="E8" s="11"/>
    </row>
    <row r="9" spans="1:7">
      <c r="A9" s="540"/>
      <c r="C9" s="396"/>
      <c r="D9" s="396"/>
    </row>
    <row r="10" spans="1:7">
      <c r="A10" s="540"/>
      <c r="C10" s="396"/>
      <c r="D10" s="396"/>
    </row>
    <row r="11" spans="1:7">
      <c r="A11" s="540"/>
      <c r="B11" s="540">
        <v>1</v>
      </c>
      <c r="C11" s="396" t="s">
        <v>560</v>
      </c>
      <c r="D11" s="396"/>
      <c r="E11" s="10" t="s">
        <v>206</v>
      </c>
      <c r="F11" s="140">
        <f>'Schedule 2'!F76</f>
        <v>35159222</v>
      </c>
    </row>
    <row r="12" spans="1:7">
      <c r="A12" s="540"/>
      <c r="B12" s="540">
        <f>B11+1</f>
        <v>2</v>
      </c>
      <c r="C12" s="396" t="s">
        <v>561</v>
      </c>
      <c r="D12" s="396"/>
      <c r="E12" s="10" t="s">
        <v>273</v>
      </c>
      <c r="F12" s="144">
        <f>'Schedule 3'!F19</f>
        <v>2.7400800000000002E-3</v>
      </c>
    </row>
    <row r="13" spans="1:7">
      <c r="A13" s="540"/>
      <c r="B13" s="540">
        <f>B12+1</f>
        <v>3</v>
      </c>
      <c r="C13" s="396" t="s">
        <v>562</v>
      </c>
      <c r="D13" s="396"/>
      <c r="E13" s="10" t="s">
        <v>563</v>
      </c>
      <c r="F13" s="13">
        <f>ROUND(F11 * F12,0)</f>
        <v>96339</v>
      </c>
    </row>
    <row r="14" spans="1:7">
      <c r="A14" s="540"/>
      <c r="C14" s="396"/>
      <c r="D14" s="396"/>
    </row>
    <row r="15" spans="1:7">
      <c r="A15" s="540"/>
      <c r="C15" s="396"/>
      <c r="D15" s="396"/>
    </row>
    <row r="16" spans="1:7">
      <c r="A16" s="540"/>
      <c r="C16" s="396"/>
      <c r="D16" s="396"/>
    </row>
    <row r="17" spans="1:4">
      <c r="A17" s="540"/>
      <c r="C17" s="396"/>
      <c r="D17" s="396"/>
    </row>
    <row r="18" spans="1:4">
      <c r="A18" s="540"/>
      <c r="C18" s="396"/>
      <c r="D18" s="396"/>
    </row>
    <row r="19" spans="1:4">
      <c r="A19" s="540"/>
      <c r="C19" s="396"/>
      <c r="D19" s="396"/>
    </row>
    <row r="20" spans="1:4">
      <c r="A20" s="540"/>
      <c r="C20" s="396"/>
      <c r="D20" s="396"/>
    </row>
    <row r="21" spans="1:4">
      <c r="A21" s="540"/>
      <c r="C21" s="396"/>
      <c r="D21" s="396"/>
    </row>
    <row r="22" spans="1:4">
      <c r="A22" s="540"/>
      <c r="C22" s="396"/>
      <c r="D22" s="396"/>
    </row>
    <row r="23" spans="1:4">
      <c r="A23" s="540"/>
      <c r="C23" s="396"/>
      <c r="D23" s="396"/>
    </row>
    <row r="24" spans="1:4">
      <c r="A24" s="540"/>
      <c r="C24" s="396"/>
      <c r="D24" s="396"/>
    </row>
    <row r="25" spans="1:4">
      <c r="A25" s="540"/>
      <c r="C25" s="396"/>
      <c r="D25" s="396"/>
    </row>
    <row r="26" spans="1:4">
      <c r="A26" s="540"/>
      <c r="C26" s="396"/>
      <c r="D26" s="396"/>
    </row>
    <row r="27" spans="1:4">
      <c r="A27" s="540"/>
      <c r="C27" s="396"/>
      <c r="D27" s="396"/>
    </row>
    <row r="28" spans="1:4">
      <c r="A28" s="540"/>
      <c r="C28" s="396"/>
      <c r="D28" s="396"/>
    </row>
    <row r="29" spans="1:4">
      <c r="A29" s="540"/>
      <c r="C29" s="396"/>
      <c r="D29" s="396"/>
    </row>
    <row r="30" spans="1:4">
      <c r="A30" s="540"/>
      <c r="C30" s="396"/>
      <c r="D30" s="396"/>
    </row>
    <row r="31" spans="1:4">
      <c r="A31" s="540"/>
      <c r="C31" s="396"/>
      <c r="D31" s="396"/>
    </row>
    <row r="32" spans="1:4">
      <c r="A32" s="540"/>
      <c r="C32" s="396"/>
      <c r="D32" s="396"/>
    </row>
    <row r="33" spans="1:4">
      <c r="A33" s="540"/>
      <c r="C33" s="396"/>
      <c r="D33" s="396"/>
    </row>
    <row r="34" spans="1:4">
      <c r="A34" s="540"/>
      <c r="C34" s="396"/>
      <c r="D34" s="396"/>
    </row>
    <row r="35" spans="1:4">
      <c r="A35" s="540"/>
      <c r="C35" s="396"/>
      <c r="D35" s="396"/>
    </row>
    <row r="36" spans="1:4">
      <c r="A36" s="540"/>
      <c r="C36" s="396"/>
      <c r="D36" s="396"/>
    </row>
    <row r="37" spans="1:4">
      <c r="A37" s="540"/>
      <c r="C37" s="396"/>
      <c r="D37" s="396"/>
    </row>
    <row r="38" spans="1:4">
      <c r="A38" s="540"/>
      <c r="C38" s="396"/>
      <c r="D38" s="396"/>
    </row>
    <row r="39" spans="1:4">
      <c r="A39" s="540"/>
      <c r="C39" s="396"/>
      <c r="D39" s="396"/>
    </row>
    <row r="40" spans="1:4">
      <c r="A40" s="540"/>
      <c r="C40" s="396"/>
      <c r="D40" s="396"/>
    </row>
    <row r="41" spans="1:4">
      <c r="A41" s="540"/>
      <c r="C41" s="396"/>
      <c r="D41" s="396"/>
    </row>
    <row r="42" spans="1:4">
      <c r="A42" s="540"/>
      <c r="C42" s="396"/>
      <c r="D42" s="396"/>
    </row>
    <row r="43" spans="1:4">
      <c r="A43" s="540"/>
      <c r="C43" s="396"/>
      <c r="D43" s="396"/>
    </row>
    <row r="44" spans="1:4">
      <c r="A44" s="540"/>
      <c r="C44" s="396"/>
      <c r="D44" s="396"/>
    </row>
    <row r="45" spans="1:4">
      <c r="A45" s="540"/>
      <c r="C45" s="396"/>
      <c r="D45" s="396"/>
    </row>
    <row r="46" spans="1:4">
      <c r="A46" s="540"/>
      <c r="C46" s="396"/>
      <c r="D46" s="396"/>
    </row>
    <row r="47" spans="1:4">
      <c r="A47" s="540"/>
      <c r="C47" s="396"/>
      <c r="D47" s="396"/>
    </row>
    <row r="48" spans="1:4">
      <c r="A48" s="540"/>
      <c r="C48" s="396"/>
      <c r="D48" s="396"/>
    </row>
    <row r="49" spans="1:10">
      <c r="A49" s="540"/>
      <c r="C49" s="397"/>
      <c r="D49" s="397"/>
    </row>
    <row r="50" spans="1:10">
      <c r="A50" s="540"/>
    </row>
    <row r="51" spans="1:10">
      <c r="A51" s="540"/>
      <c r="B51" s="265"/>
      <c r="C51" s="396"/>
    </row>
    <row r="52" spans="1:10">
      <c r="A52" s="540"/>
      <c r="F52" s="398"/>
      <c r="G52" s="540"/>
      <c r="J52" s="19"/>
    </row>
    <row r="53" spans="1:10">
      <c r="A53" s="540"/>
      <c r="F53" s="398"/>
      <c r="G53" s="540"/>
      <c r="J53" s="19"/>
    </row>
    <row r="54" spans="1:10">
      <c r="A54" s="540"/>
      <c r="F54" s="398"/>
      <c r="G54" s="540"/>
      <c r="J54" s="19"/>
    </row>
    <row r="55" spans="1:10">
      <c r="A55" s="540"/>
    </row>
    <row r="56" spans="1:10">
      <c r="A56" s="540"/>
    </row>
    <row r="57" spans="1:10">
      <c r="A57" s="540"/>
    </row>
    <row r="58" spans="1:10">
      <c r="A58" s="540"/>
    </row>
    <row r="59" spans="1:10">
      <c r="A59" s="540"/>
    </row>
    <row r="60" spans="1:10">
      <c r="A60" s="540"/>
    </row>
    <row r="61" spans="1:10">
      <c r="A61" s="540"/>
      <c r="C61" s="250"/>
    </row>
    <row r="62" spans="1:10">
      <c r="A62" s="540"/>
      <c r="B62" s="541"/>
    </row>
    <row r="63" spans="1:10">
      <c r="A63" s="540"/>
      <c r="B63" s="541"/>
    </row>
  </sheetData>
  <mergeCells count="5">
    <mergeCell ref="A5:G5"/>
    <mergeCell ref="A6:G6"/>
    <mergeCell ref="A1:G1"/>
    <mergeCell ref="A2:G2"/>
    <mergeCell ref="A3:G3"/>
  </mergeCells>
  <phoneticPr fontId="18" type="noConversion"/>
  <printOptions horizontalCentered="1"/>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O42"/>
  <sheetViews>
    <sheetView zoomScaleNormal="100" zoomScaleSheetLayoutView="148" workbookViewId="0">
      <selection sqref="A1:XFD1048576"/>
    </sheetView>
  </sheetViews>
  <sheetFormatPr defaultColWidth="9.140625" defaultRowHeight="12.75"/>
  <cols>
    <col min="1" max="1" width="3" style="193" bestFit="1" customWidth="1"/>
    <col min="2" max="2" width="30.85546875" style="193" bestFit="1" customWidth="1"/>
    <col min="3" max="3" width="13.42578125" style="193" customWidth="1"/>
    <col min="4" max="4" width="1.7109375" style="193" customWidth="1"/>
    <col min="5" max="5" width="13.42578125" style="193" bestFit="1" customWidth="1"/>
    <col min="6" max="10" width="12.7109375" style="193" customWidth="1"/>
    <col min="11" max="16384" width="9.140625" style="193"/>
  </cols>
  <sheetData>
    <row r="1" spans="1:15">
      <c r="A1" s="563" t="s">
        <v>459</v>
      </c>
      <c r="B1" s="563"/>
      <c r="C1" s="563"/>
      <c r="D1" s="563"/>
      <c r="E1" s="563"/>
      <c r="F1" s="563"/>
      <c r="G1" s="563"/>
      <c r="H1" s="563"/>
      <c r="I1" s="563"/>
      <c r="J1" s="563"/>
      <c r="K1" s="563"/>
    </row>
    <row r="2" spans="1:15">
      <c r="A2" s="563" t="s">
        <v>1038</v>
      </c>
      <c r="B2" s="563"/>
      <c r="C2" s="563"/>
      <c r="D2" s="563"/>
      <c r="E2" s="563"/>
      <c r="F2" s="563"/>
      <c r="G2" s="563"/>
      <c r="H2" s="563"/>
      <c r="I2" s="563"/>
      <c r="J2" s="563"/>
      <c r="K2" s="563"/>
    </row>
    <row r="3" spans="1:15">
      <c r="A3" s="563" t="str">
        <f>'Title Page'!A10</f>
        <v>FOR THE TWELVE MONTHS ENDED DECEMBER 31, 2023</v>
      </c>
      <c r="B3" s="563"/>
      <c r="C3" s="563"/>
      <c r="D3" s="563"/>
      <c r="E3" s="563"/>
      <c r="F3" s="563"/>
      <c r="G3" s="563"/>
      <c r="H3" s="563"/>
      <c r="I3" s="563"/>
      <c r="J3" s="563"/>
      <c r="K3" s="563"/>
    </row>
    <row r="5" spans="1:15">
      <c r="A5" s="564" t="s">
        <v>318</v>
      </c>
      <c r="B5" s="564"/>
      <c r="C5" s="564"/>
      <c r="D5" s="564"/>
      <c r="E5" s="564"/>
      <c r="F5" s="564"/>
      <c r="G5" s="564"/>
      <c r="H5" s="564"/>
      <c r="I5" s="564"/>
      <c r="J5" s="564"/>
      <c r="K5" s="564"/>
    </row>
    <row r="6" spans="1:15">
      <c r="A6" s="564" t="s">
        <v>42</v>
      </c>
      <c r="B6" s="564"/>
      <c r="C6" s="564"/>
      <c r="D6" s="564"/>
      <c r="E6" s="564"/>
      <c r="F6" s="564"/>
      <c r="G6" s="564"/>
      <c r="H6" s="564"/>
      <c r="I6" s="564"/>
      <c r="J6" s="564"/>
      <c r="K6" s="564"/>
    </row>
    <row r="7" spans="1:15">
      <c r="A7" s="540"/>
      <c r="B7" s="540"/>
      <c r="C7" s="540"/>
      <c r="D7" s="540"/>
      <c r="E7" s="540"/>
      <c r="F7" s="540"/>
    </row>
    <row r="8" spans="1:15">
      <c r="B8" s="540"/>
      <c r="C8" s="543"/>
      <c r="D8" s="543"/>
      <c r="E8" s="543"/>
    </row>
    <row r="9" spans="1:15">
      <c r="C9" s="16"/>
      <c r="D9" s="16"/>
      <c r="E9" s="16"/>
    </row>
    <row r="10" spans="1:15">
      <c r="A10" s="540">
        <v>1</v>
      </c>
      <c r="C10" s="590" t="s">
        <v>84</v>
      </c>
      <c r="D10" s="590"/>
      <c r="E10" s="590"/>
      <c r="F10" s="590"/>
      <c r="G10" s="590"/>
      <c r="H10" s="590"/>
      <c r="I10" s="590"/>
      <c r="J10" s="590"/>
    </row>
    <row r="11" spans="1:15" ht="13.5" thickBot="1">
      <c r="A11" s="540">
        <f t="shared" ref="A11:A31" si="0">A10+1</f>
        <v>2</v>
      </c>
      <c r="B11" s="264"/>
      <c r="C11" s="382" t="s">
        <v>85</v>
      </c>
      <c r="D11" s="383"/>
      <c r="E11" s="179" t="s">
        <v>1094</v>
      </c>
      <c r="F11" s="179" t="s">
        <v>109</v>
      </c>
      <c r="G11" s="384" t="s">
        <v>110</v>
      </c>
      <c r="H11" s="385" t="s">
        <v>93</v>
      </c>
      <c r="I11" s="386" t="s">
        <v>889</v>
      </c>
      <c r="J11" s="385" t="s">
        <v>111</v>
      </c>
    </row>
    <row r="12" spans="1:15">
      <c r="A12" s="540">
        <f t="shared" si="0"/>
        <v>3</v>
      </c>
      <c r="B12" s="264" t="s">
        <v>1101</v>
      </c>
      <c r="C12" s="383"/>
      <c r="D12" s="383"/>
      <c r="E12" s="387"/>
      <c r="F12" s="387"/>
      <c r="G12" s="388"/>
      <c r="H12" s="389"/>
      <c r="I12" s="390"/>
      <c r="J12" s="389"/>
    </row>
    <row r="13" spans="1:15">
      <c r="A13" s="540">
        <f t="shared" si="0"/>
        <v>4</v>
      </c>
      <c r="B13" s="193" t="s">
        <v>153</v>
      </c>
      <c r="C13" s="139">
        <f>SUM(E13:J13)</f>
        <v>1310444.06</v>
      </c>
      <c r="D13" s="301"/>
      <c r="E13" s="139">
        <v>0</v>
      </c>
      <c r="F13" s="139">
        <v>0</v>
      </c>
      <c r="G13" s="139">
        <v>0</v>
      </c>
      <c r="H13" s="139">
        <v>0</v>
      </c>
      <c r="I13" s="139">
        <v>0</v>
      </c>
      <c r="J13" s="139">
        <v>1310444.06</v>
      </c>
      <c r="K13" s="139"/>
      <c r="L13" s="139"/>
      <c r="M13" s="139"/>
      <c r="N13" s="139"/>
      <c r="O13" s="139"/>
    </row>
    <row r="14" spans="1:15">
      <c r="A14" s="540">
        <f t="shared" si="0"/>
        <v>5</v>
      </c>
      <c r="B14" s="193" t="s">
        <v>1095</v>
      </c>
      <c r="C14" s="152">
        <f t="shared" ref="C14:C22" si="1">SUM(E14:J14)</f>
        <v>279801.83</v>
      </c>
      <c r="D14" s="30"/>
      <c r="E14" s="152">
        <v>0</v>
      </c>
      <c r="F14" s="152">
        <v>0</v>
      </c>
      <c r="G14" s="152">
        <v>279801.83</v>
      </c>
      <c r="H14" s="152">
        <v>0</v>
      </c>
      <c r="I14" s="152">
        <v>0</v>
      </c>
      <c r="J14" s="152">
        <v>0</v>
      </c>
    </row>
    <row r="15" spans="1:15" ht="12.75" customHeight="1">
      <c r="A15" s="540">
        <f t="shared" si="0"/>
        <v>6</v>
      </c>
      <c r="B15" s="391" t="s">
        <v>1098</v>
      </c>
      <c r="C15" s="301">
        <f>SUM(C13:C14)</f>
        <v>1590245.8900000001</v>
      </c>
      <c r="D15" s="301"/>
      <c r="E15" s="139">
        <f t="shared" ref="E15:J15" si="2">SUM(E13:E14)</f>
        <v>0</v>
      </c>
      <c r="F15" s="139">
        <f t="shared" si="2"/>
        <v>0</v>
      </c>
      <c r="G15" s="139">
        <f t="shared" si="2"/>
        <v>279801.83</v>
      </c>
      <c r="H15" s="139">
        <f t="shared" si="2"/>
        <v>0</v>
      </c>
      <c r="I15" s="139">
        <f t="shared" si="2"/>
        <v>0</v>
      </c>
      <c r="J15" s="139">
        <f t="shared" si="2"/>
        <v>1310444.06</v>
      </c>
    </row>
    <row r="16" spans="1:15" ht="12.75" customHeight="1">
      <c r="A16" s="540">
        <f t="shared" si="0"/>
        <v>7</v>
      </c>
      <c r="B16" s="391"/>
      <c r="C16" s="29"/>
      <c r="D16" s="29"/>
      <c r="E16" s="29"/>
      <c r="F16" s="29"/>
      <c r="G16" s="29"/>
      <c r="H16" s="29"/>
      <c r="I16" s="29"/>
      <c r="J16" s="29"/>
    </row>
    <row r="17" spans="1:10" ht="12.75" customHeight="1">
      <c r="A17" s="540">
        <f t="shared" si="0"/>
        <v>8</v>
      </c>
      <c r="B17" s="391"/>
      <c r="C17" s="29"/>
      <c r="D17" s="29"/>
      <c r="E17" s="29"/>
      <c r="F17" s="29"/>
      <c r="G17" s="29"/>
      <c r="H17" s="29"/>
      <c r="I17" s="29"/>
      <c r="J17" s="29"/>
    </row>
    <row r="18" spans="1:10" ht="13.5" customHeight="1">
      <c r="A18" s="540">
        <f t="shared" si="0"/>
        <v>9</v>
      </c>
      <c r="B18" s="264" t="s">
        <v>94</v>
      </c>
      <c r="C18" s="392"/>
      <c r="D18" s="392"/>
      <c r="E18" s="392"/>
      <c r="F18" s="392"/>
      <c r="G18" s="392"/>
      <c r="H18" s="392"/>
      <c r="I18" s="392"/>
      <c r="J18" s="392"/>
    </row>
    <row r="19" spans="1:10">
      <c r="A19" s="540">
        <f t="shared" si="0"/>
        <v>10</v>
      </c>
      <c r="B19" s="193" t="s">
        <v>1096</v>
      </c>
      <c r="C19" s="139">
        <f t="shared" si="1"/>
        <v>5023123.37</v>
      </c>
      <c r="D19" s="301"/>
      <c r="E19" s="139">
        <v>3728551.2</v>
      </c>
      <c r="F19" s="139">
        <v>0</v>
      </c>
      <c r="G19" s="139">
        <v>0</v>
      </c>
      <c r="H19" s="139">
        <v>1294572.17</v>
      </c>
      <c r="I19" s="139">
        <v>0</v>
      </c>
      <c r="J19" s="139">
        <v>0</v>
      </c>
    </row>
    <row r="20" spans="1:10">
      <c r="A20" s="540">
        <f t="shared" si="0"/>
        <v>11</v>
      </c>
      <c r="B20" s="193" t="s">
        <v>453</v>
      </c>
      <c r="C20" s="30">
        <f t="shared" si="1"/>
        <v>5094471.43</v>
      </c>
      <c r="D20" s="30"/>
      <c r="E20" s="30">
        <v>2814753.86</v>
      </c>
      <c r="F20" s="30">
        <v>396111.8</v>
      </c>
      <c r="G20" s="30">
        <v>6223.85</v>
      </c>
      <c r="H20" s="30">
        <v>1760043.34</v>
      </c>
      <c r="I20" s="30">
        <v>3454.87</v>
      </c>
      <c r="J20" s="30">
        <v>113883.70999999999</v>
      </c>
    </row>
    <row r="21" spans="1:10">
      <c r="A21" s="540">
        <f t="shared" si="0"/>
        <v>12</v>
      </c>
      <c r="B21" s="193" t="s">
        <v>330</v>
      </c>
      <c r="C21" s="30">
        <f t="shared" si="1"/>
        <v>6775452.1200000001</v>
      </c>
      <c r="D21" s="30"/>
      <c r="E21" s="30">
        <v>5009240.04</v>
      </c>
      <c r="F21" s="30"/>
      <c r="G21" s="30"/>
      <c r="H21" s="30">
        <v>1766212.08</v>
      </c>
      <c r="I21" s="30"/>
      <c r="J21" s="30"/>
    </row>
    <row r="22" spans="1:10">
      <c r="A22" s="540">
        <f t="shared" si="0"/>
        <v>13</v>
      </c>
      <c r="B22" s="193" t="s">
        <v>274</v>
      </c>
      <c r="C22" s="153">
        <f t="shared" si="1"/>
        <v>1071005.03</v>
      </c>
      <c r="D22" s="92"/>
      <c r="E22" s="152">
        <v>1043570.05</v>
      </c>
      <c r="F22" s="152"/>
      <c r="G22" s="152"/>
      <c r="H22" s="153">
        <v>27434.98</v>
      </c>
      <c r="I22" s="152"/>
      <c r="J22" s="152"/>
    </row>
    <row r="23" spans="1:10" ht="12.75" customHeight="1">
      <c r="A23" s="540">
        <f t="shared" si="0"/>
        <v>14</v>
      </c>
      <c r="B23" s="391" t="s">
        <v>1099</v>
      </c>
      <c r="C23" s="139">
        <f>SUM(C19:C22)</f>
        <v>17964051.950000003</v>
      </c>
      <c r="D23" s="301"/>
      <c r="E23" s="139">
        <f t="shared" ref="E23:J23" si="3">SUM(E19:E22)</f>
        <v>12596115.150000002</v>
      </c>
      <c r="F23" s="139">
        <f t="shared" si="3"/>
        <v>396111.8</v>
      </c>
      <c r="G23" s="139">
        <f t="shared" si="3"/>
        <v>6223.85</v>
      </c>
      <c r="H23" s="139">
        <f t="shared" si="3"/>
        <v>4848262.57</v>
      </c>
      <c r="I23" s="139">
        <f t="shared" si="3"/>
        <v>3454.87</v>
      </c>
      <c r="J23" s="139">
        <f t="shared" si="3"/>
        <v>113883.70999999999</v>
      </c>
    </row>
    <row r="24" spans="1:10" ht="12.75" customHeight="1">
      <c r="A24" s="540">
        <f t="shared" si="0"/>
        <v>15</v>
      </c>
      <c r="B24" s="393"/>
      <c r="C24" s="29"/>
      <c r="D24" s="29"/>
      <c r="E24" s="29"/>
      <c r="F24" s="29"/>
      <c r="G24" s="29"/>
      <c r="H24" s="29"/>
      <c r="I24" s="29"/>
      <c r="J24" s="29"/>
    </row>
    <row r="25" spans="1:10" ht="12.75" customHeight="1">
      <c r="A25" s="540">
        <f t="shared" si="0"/>
        <v>16</v>
      </c>
      <c r="B25" s="393"/>
      <c r="C25" s="29"/>
      <c r="D25" s="29"/>
      <c r="E25" s="29"/>
      <c r="F25" s="29"/>
      <c r="G25" s="29"/>
      <c r="H25" s="29"/>
      <c r="I25" s="29"/>
      <c r="J25" s="29"/>
    </row>
    <row r="26" spans="1:10">
      <c r="A26" s="540">
        <f t="shared" si="0"/>
        <v>17</v>
      </c>
      <c r="B26" s="394" t="s">
        <v>1097</v>
      </c>
      <c r="C26" s="139">
        <f>C23+C15</f>
        <v>19554297.840000004</v>
      </c>
      <c r="D26" s="301"/>
      <c r="E26" s="139">
        <f t="shared" ref="E26:J26" si="4">E23+E15</f>
        <v>12596115.150000002</v>
      </c>
      <c r="F26" s="139">
        <f t="shared" si="4"/>
        <v>396111.8</v>
      </c>
      <c r="G26" s="139">
        <f t="shared" si="4"/>
        <v>286025.68</v>
      </c>
      <c r="H26" s="139">
        <f t="shared" si="4"/>
        <v>4848262.57</v>
      </c>
      <c r="I26" s="139">
        <f t="shared" si="4"/>
        <v>3454.87</v>
      </c>
      <c r="J26" s="139">
        <f t="shared" si="4"/>
        <v>1424327.77</v>
      </c>
    </row>
    <row r="27" spans="1:10">
      <c r="A27" s="540">
        <f t="shared" si="0"/>
        <v>18</v>
      </c>
      <c r="C27" s="17"/>
      <c r="D27" s="17"/>
      <c r="E27" s="17"/>
    </row>
    <row r="28" spans="1:10">
      <c r="A28" s="540">
        <f t="shared" si="0"/>
        <v>19</v>
      </c>
      <c r="C28" s="17"/>
      <c r="D28" s="17"/>
      <c r="E28" s="17"/>
    </row>
    <row r="29" spans="1:10">
      <c r="A29" s="540">
        <f t="shared" si="0"/>
        <v>20</v>
      </c>
      <c r="B29" s="264" t="s">
        <v>1102</v>
      </c>
      <c r="C29" s="17"/>
      <c r="D29" s="17"/>
      <c r="E29" s="17"/>
    </row>
    <row r="30" spans="1:10">
      <c r="A30" s="540">
        <f t="shared" si="0"/>
        <v>21</v>
      </c>
      <c r="B30" s="263" t="s">
        <v>453</v>
      </c>
      <c r="C30" s="13">
        <f>C20</f>
        <v>5094471.43</v>
      </c>
      <c r="D30" s="17"/>
      <c r="E30" s="18"/>
    </row>
    <row r="31" spans="1:10">
      <c r="A31" s="540">
        <f t="shared" si="0"/>
        <v>22</v>
      </c>
      <c r="B31" s="263" t="s">
        <v>274</v>
      </c>
      <c r="C31" s="13">
        <f>C22</f>
        <v>1071005.03</v>
      </c>
    </row>
    <row r="40" spans="4:4">
      <c r="D40" s="266"/>
    </row>
    <row r="41" spans="4:4">
      <c r="D41" s="15"/>
    </row>
    <row r="42" spans="4:4">
      <c r="D42" s="266"/>
    </row>
  </sheetData>
  <mergeCells count="6">
    <mergeCell ref="C10:J10"/>
    <mergeCell ref="A1:K1"/>
    <mergeCell ref="A2:K2"/>
    <mergeCell ref="A3:K3"/>
    <mergeCell ref="A5:K5"/>
    <mergeCell ref="A6:K6"/>
  </mergeCells>
  <phoneticPr fontId="18" type="noConversion"/>
  <printOptions horizontalCentered="1"/>
  <pageMargins left="0.75" right="0.75" top="1" bottom="1" header="0.5" footer="0.5"/>
  <pageSetup scale="6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32"/>
  <sheetViews>
    <sheetView zoomScaleNormal="100" workbookViewId="0">
      <selection sqref="A1:XFD1048576"/>
    </sheetView>
  </sheetViews>
  <sheetFormatPr defaultColWidth="9.140625" defaultRowHeight="15"/>
  <cols>
    <col min="1" max="1" width="3.140625" style="377" customWidth="1"/>
    <col min="2" max="2" width="22.7109375" style="375" customWidth="1"/>
    <col min="3" max="3" width="17.28515625" style="375" bestFit="1" customWidth="1"/>
    <col min="4" max="4" width="17.7109375" style="375" bestFit="1" customWidth="1"/>
    <col min="5" max="16384" width="9.140625" style="375"/>
  </cols>
  <sheetData>
    <row r="1" spans="1:11">
      <c r="A1" s="591" t="s">
        <v>459</v>
      </c>
      <c r="B1" s="591"/>
      <c r="C1" s="591"/>
      <c r="D1" s="591"/>
      <c r="E1" s="591"/>
    </row>
    <row r="2" spans="1:11">
      <c r="A2" s="591" t="s">
        <v>1038</v>
      </c>
      <c r="B2" s="591"/>
      <c r="C2" s="591"/>
      <c r="D2" s="591"/>
      <c r="E2" s="591"/>
    </row>
    <row r="3" spans="1:11">
      <c r="A3" s="591" t="str">
        <f>'Title Page'!A10</f>
        <v>FOR THE TWELVE MONTHS ENDED DECEMBER 31, 2023</v>
      </c>
      <c r="B3" s="591"/>
      <c r="C3" s="591"/>
      <c r="D3" s="591"/>
      <c r="E3" s="591"/>
    </row>
    <row r="5" spans="1:11" s="193" customFormat="1" ht="12.75">
      <c r="A5" s="564" t="s">
        <v>1145</v>
      </c>
      <c r="B5" s="564"/>
      <c r="C5" s="564"/>
      <c r="D5" s="564"/>
      <c r="E5" s="564"/>
      <c r="F5" s="264"/>
      <c r="G5" s="264"/>
      <c r="H5" s="264"/>
    </row>
    <row r="6" spans="1:11" s="193" customFormat="1" ht="12.75">
      <c r="A6" s="564" t="s">
        <v>798</v>
      </c>
      <c r="B6" s="564"/>
      <c r="C6" s="564"/>
      <c r="D6" s="564"/>
      <c r="E6" s="564"/>
      <c r="F6" s="264"/>
      <c r="G6" s="264"/>
      <c r="H6" s="264"/>
    </row>
    <row r="7" spans="1:11" s="193" customFormat="1" ht="12.75">
      <c r="A7" s="541"/>
      <c r="B7" s="541"/>
      <c r="C7" s="541"/>
      <c r="D7" s="541"/>
      <c r="E7" s="541"/>
      <c r="F7" s="264"/>
      <c r="G7" s="264"/>
      <c r="H7" s="264"/>
    </row>
    <row r="8" spans="1:11" s="193" customFormat="1" ht="12.75">
      <c r="A8" s="541"/>
      <c r="B8" s="541"/>
      <c r="C8" s="541"/>
      <c r="D8" s="541"/>
      <c r="E8" s="541"/>
      <c r="F8" s="264"/>
      <c r="G8" s="264"/>
      <c r="H8" s="264"/>
    </row>
    <row r="9" spans="1:11" s="193" customFormat="1" ht="12.75">
      <c r="B9" s="541"/>
      <c r="C9" s="541"/>
      <c r="D9" s="541"/>
      <c r="E9" s="541"/>
      <c r="F9" s="541"/>
      <c r="G9" s="541"/>
      <c r="H9" s="541"/>
    </row>
    <row r="10" spans="1:11" s="193" customFormat="1" ht="12.75">
      <c r="A10" s="193">
        <v>1</v>
      </c>
      <c r="B10" s="541"/>
      <c r="C10" s="376" t="s">
        <v>192</v>
      </c>
      <c r="D10" s="541"/>
      <c r="E10" s="541"/>
      <c r="F10" s="541"/>
      <c r="G10" s="541"/>
      <c r="H10" s="541"/>
    </row>
    <row r="11" spans="1:11">
      <c r="A11" s="377">
        <f>A10+1</f>
        <v>2</v>
      </c>
      <c r="B11" s="377" t="s">
        <v>876</v>
      </c>
      <c r="D11" s="377"/>
      <c r="E11" s="377"/>
      <c r="F11" s="377"/>
      <c r="G11" s="377"/>
      <c r="H11" s="377"/>
      <c r="I11" s="377"/>
      <c r="J11" s="377"/>
      <c r="K11" s="377"/>
    </row>
    <row r="12" spans="1:11">
      <c r="A12" s="377">
        <f t="shared" ref="A12:A27" si="0">A11+1</f>
        <v>3</v>
      </c>
      <c r="B12" s="377" t="s">
        <v>877</v>
      </c>
      <c r="D12" s="139">
        <v>35000</v>
      </c>
      <c r="E12" s="378"/>
      <c r="F12" s="377"/>
      <c r="G12" s="377"/>
      <c r="H12" s="377"/>
      <c r="I12" s="377"/>
      <c r="J12" s="377"/>
      <c r="K12" s="377"/>
    </row>
    <row r="13" spans="1:11">
      <c r="A13" s="377">
        <f t="shared" si="0"/>
        <v>4</v>
      </c>
      <c r="B13" s="377" t="s">
        <v>878</v>
      </c>
      <c r="C13" s="378"/>
      <c r="D13" s="139">
        <v>0</v>
      </c>
      <c r="E13" s="378"/>
      <c r="F13" s="377"/>
      <c r="G13" s="377"/>
      <c r="H13" s="377"/>
      <c r="I13" s="377"/>
      <c r="J13" s="377"/>
      <c r="K13" s="377"/>
    </row>
    <row r="14" spans="1:11" ht="15.75" thickBot="1">
      <c r="A14" s="377">
        <f t="shared" si="0"/>
        <v>5</v>
      </c>
      <c r="B14" s="377" t="s">
        <v>469</v>
      </c>
      <c r="C14" s="377"/>
      <c r="D14" s="114">
        <f>SUM(D12:D13)</f>
        <v>35000</v>
      </c>
      <c r="E14" s="377"/>
      <c r="F14" s="377"/>
      <c r="G14" s="377"/>
      <c r="H14" s="377"/>
      <c r="I14" s="377"/>
      <c r="J14" s="377"/>
      <c r="K14" s="377"/>
    </row>
    <row r="15" spans="1:11" ht="15.75" thickTop="1">
      <c r="A15" s="377">
        <f t="shared" si="0"/>
        <v>6</v>
      </c>
      <c r="B15" s="377"/>
      <c r="C15" s="377"/>
      <c r="D15" s="140"/>
      <c r="E15" s="377"/>
      <c r="F15" s="377"/>
      <c r="G15" s="377"/>
      <c r="H15" s="377"/>
      <c r="I15" s="377"/>
      <c r="J15" s="377"/>
      <c r="K15" s="377"/>
    </row>
    <row r="16" spans="1:11">
      <c r="A16" s="377">
        <f t="shared" si="0"/>
        <v>7</v>
      </c>
      <c r="B16" s="377"/>
      <c r="C16" s="377"/>
      <c r="D16" s="12"/>
      <c r="E16" s="377"/>
      <c r="F16" s="377"/>
      <c r="G16" s="377"/>
      <c r="H16" s="377"/>
      <c r="I16" s="377"/>
      <c r="J16" s="377"/>
      <c r="K16" s="377"/>
    </row>
    <row r="17" spans="1:11">
      <c r="A17" s="377">
        <f t="shared" si="0"/>
        <v>8</v>
      </c>
      <c r="B17" s="377" t="s">
        <v>449</v>
      </c>
      <c r="C17" s="377"/>
      <c r="D17" s="12"/>
      <c r="E17" s="377"/>
      <c r="F17" s="377"/>
      <c r="G17" s="377"/>
      <c r="H17" s="377"/>
      <c r="I17" s="377"/>
      <c r="J17" s="377"/>
      <c r="K17" s="377"/>
    </row>
    <row r="18" spans="1:11">
      <c r="A18" s="377">
        <f t="shared" si="0"/>
        <v>9</v>
      </c>
      <c r="B18" s="377" t="s">
        <v>453</v>
      </c>
      <c r="C18" s="379" t="s">
        <v>1086</v>
      </c>
      <c r="D18" s="139">
        <f>'Rate Calculation'!E9</f>
        <v>1390965512.55</v>
      </c>
      <c r="E18" s="377"/>
      <c r="F18" s="377"/>
      <c r="G18" s="377"/>
      <c r="H18" s="377"/>
      <c r="I18" s="377"/>
      <c r="J18" s="377"/>
      <c r="K18" s="377"/>
    </row>
    <row r="19" spans="1:11">
      <c r="A19" s="377">
        <f t="shared" si="0"/>
        <v>10</v>
      </c>
      <c r="B19" s="377" t="s">
        <v>330</v>
      </c>
      <c r="C19" s="379" t="s">
        <v>1087</v>
      </c>
      <c r="D19" s="380">
        <v>2454458287</v>
      </c>
      <c r="E19" s="377"/>
      <c r="F19" s="377"/>
      <c r="G19" s="377"/>
      <c r="H19" s="377"/>
      <c r="I19" s="377"/>
      <c r="J19" s="377"/>
      <c r="K19" s="377"/>
    </row>
    <row r="20" spans="1:11" ht="15.75" thickBot="1">
      <c r="A20" s="377">
        <f t="shared" si="0"/>
        <v>11</v>
      </c>
      <c r="B20" s="377"/>
      <c r="C20" s="377"/>
      <c r="D20" s="114">
        <f>SUM(D18:D19)</f>
        <v>3845423799.5500002</v>
      </c>
      <c r="E20" s="377"/>
      <c r="F20" s="377"/>
      <c r="G20" s="377"/>
      <c r="H20" s="377"/>
      <c r="I20" s="377"/>
      <c r="J20" s="377"/>
      <c r="K20" s="377"/>
    </row>
    <row r="21" spans="1:11" ht="15.75" thickTop="1">
      <c r="A21" s="377">
        <f t="shared" si="0"/>
        <v>12</v>
      </c>
      <c r="B21" s="377"/>
      <c r="C21" s="377"/>
      <c r="D21" s="377"/>
      <c r="E21" s="377"/>
      <c r="F21" s="377"/>
      <c r="G21" s="377"/>
      <c r="H21" s="377"/>
      <c r="I21" s="377"/>
      <c r="J21" s="377"/>
      <c r="K21" s="377"/>
    </row>
    <row r="22" spans="1:11">
      <c r="A22" s="377">
        <f t="shared" si="0"/>
        <v>13</v>
      </c>
      <c r="B22" s="377" t="s">
        <v>879</v>
      </c>
      <c r="C22" s="377"/>
      <c r="D22" s="142">
        <f>D18/D20</f>
        <v>0.36171969204350735</v>
      </c>
      <c r="E22" s="377"/>
      <c r="F22" s="377"/>
      <c r="G22" s="377"/>
      <c r="H22" s="377"/>
      <c r="I22" s="377"/>
      <c r="J22" s="377"/>
      <c r="K22" s="377"/>
    </row>
    <row r="23" spans="1:11">
      <c r="A23" s="377">
        <f t="shared" si="0"/>
        <v>14</v>
      </c>
      <c r="B23" s="377"/>
      <c r="C23" s="377"/>
      <c r="D23" s="142"/>
      <c r="E23" s="377"/>
      <c r="F23" s="377"/>
      <c r="G23" s="377"/>
      <c r="H23" s="377"/>
      <c r="I23" s="377"/>
      <c r="J23" s="377"/>
      <c r="K23" s="377"/>
    </row>
    <row r="24" spans="1:11">
      <c r="A24" s="377">
        <f t="shared" si="0"/>
        <v>15</v>
      </c>
      <c r="B24" s="377"/>
      <c r="C24" s="377"/>
      <c r="D24" s="377"/>
      <c r="E24" s="377"/>
      <c r="F24" s="377"/>
      <c r="G24" s="377"/>
      <c r="H24" s="377"/>
      <c r="I24" s="377"/>
      <c r="J24" s="377"/>
      <c r="K24" s="377"/>
    </row>
    <row r="25" spans="1:11">
      <c r="A25" s="377">
        <f t="shared" si="0"/>
        <v>16</v>
      </c>
      <c r="B25" s="377" t="s">
        <v>880</v>
      </c>
      <c r="C25" s="377"/>
      <c r="D25" s="133">
        <f>D14</f>
        <v>35000</v>
      </c>
      <c r="E25" s="377"/>
      <c r="F25" s="377"/>
      <c r="G25" s="377"/>
      <c r="H25" s="377"/>
      <c r="I25" s="377"/>
      <c r="J25" s="377"/>
      <c r="K25" s="377"/>
    </row>
    <row r="26" spans="1:11">
      <c r="A26" s="377">
        <f t="shared" si="0"/>
        <v>17</v>
      </c>
      <c r="B26" s="377" t="s">
        <v>881</v>
      </c>
      <c r="C26" s="377"/>
      <c r="D26" s="142">
        <f>D22</f>
        <v>0.36171969204350735</v>
      </c>
      <c r="E26" s="377"/>
      <c r="F26" s="377"/>
      <c r="G26" s="377"/>
      <c r="H26" s="377"/>
      <c r="I26" s="377"/>
      <c r="J26" s="377"/>
      <c r="K26" s="377"/>
    </row>
    <row r="27" spans="1:11" ht="15.75" thickBot="1">
      <c r="A27" s="377">
        <f t="shared" si="0"/>
        <v>18</v>
      </c>
      <c r="B27" s="377" t="s">
        <v>882</v>
      </c>
      <c r="C27" s="377"/>
      <c r="D27" s="132">
        <f>D25*D26</f>
        <v>12660.189221522756</v>
      </c>
      <c r="E27" s="377"/>
      <c r="F27" s="377"/>
      <c r="G27" s="377"/>
      <c r="H27" s="377"/>
      <c r="I27" s="377"/>
      <c r="J27" s="377"/>
      <c r="K27" s="377"/>
    </row>
    <row r="28" spans="1:11" ht="15.75" thickTop="1">
      <c r="B28" s="377"/>
      <c r="C28" s="377"/>
      <c r="D28" s="377"/>
      <c r="E28" s="377"/>
      <c r="F28" s="377"/>
      <c r="G28" s="377"/>
      <c r="H28" s="377"/>
      <c r="I28" s="377"/>
      <c r="J28" s="377"/>
      <c r="K28" s="377"/>
    </row>
    <row r="30" spans="1:11">
      <c r="C30" s="250"/>
    </row>
    <row r="31" spans="1:11">
      <c r="D31" s="381">
        <v>12072.48</v>
      </c>
    </row>
    <row r="32" spans="1:11">
      <c r="D32" s="381">
        <v>0.37793400300000002</v>
      </c>
    </row>
  </sheetData>
  <mergeCells count="5">
    <mergeCell ref="A1:E1"/>
    <mergeCell ref="A2:E2"/>
    <mergeCell ref="A3:E3"/>
    <mergeCell ref="A5:E5"/>
    <mergeCell ref="A6:E6"/>
  </mergeCells>
  <printOptions horizontalCentered="1"/>
  <pageMargins left="0.75" right="0.75" top="1" bottom="1" header="0.5" footer="0.5"/>
  <pageSetup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J49"/>
  <sheetViews>
    <sheetView topLeftCell="A4" zoomScale="90" zoomScaleNormal="90" zoomScaleSheetLayoutView="100" workbookViewId="0">
      <selection sqref="A1:XFD1048576"/>
    </sheetView>
  </sheetViews>
  <sheetFormatPr defaultColWidth="9.140625" defaultRowHeight="12.75"/>
  <cols>
    <col min="1" max="2" width="3.7109375" style="540" customWidth="1"/>
    <col min="3" max="3" width="48" style="193" customWidth="1"/>
    <col min="4" max="4" width="14.7109375" style="193" customWidth="1"/>
    <col min="5" max="5" width="3" style="193" customWidth="1"/>
    <col min="6" max="6" width="16.7109375" style="193" customWidth="1"/>
    <col min="7" max="7" width="1.7109375" style="193" customWidth="1"/>
    <col min="8" max="8" width="44.7109375" style="193" customWidth="1"/>
    <col min="9" max="9" width="11.7109375" style="193" bestFit="1" customWidth="1"/>
    <col min="10" max="10" width="8.7109375" style="193" bestFit="1" customWidth="1"/>
    <col min="11" max="16384" width="9.140625" style="193"/>
  </cols>
  <sheetData>
    <row r="1" spans="1:10">
      <c r="A1" s="563" t="s">
        <v>459</v>
      </c>
      <c r="B1" s="563"/>
      <c r="C1" s="563"/>
      <c r="D1" s="563"/>
      <c r="E1" s="563"/>
      <c r="F1" s="563"/>
      <c r="G1" s="563"/>
      <c r="H1" s="563"/>
      <c r="I1" s="563"/>
    </row>
    <row r="2" spans="1:10">
      <c r="A2" s="563" t="s">
        <v>1038</v>
      </c>
      <c r="B2" s="563"/>
      <c r="C2" s="563"/>
      <c r="D2" s="563"/>
      <c r="E2" s="563"/>
      <c r="F2" s="563"/>
      <c r="G2" s="563"/>
      <c r="H2" s="563"/>
      <c r="I2" s="563"/>
    </row>
    <row r="3" spans="1:10">
      <c r="A3" s="563" t="str">
        <f>'Title Page'!A10</f>
        <v>FOR THE TWELVE MONTHS ENDED DECEMBER 31, 2023</v>
      </c>
      <c r="B3" s="563"/>
      <c r="C3" s="563"/>
      <c r="D3" s="563"/>
      <c r="E3" s="563"/>
      <c r="F3" s="563"/>
      <c r="G3" s="563"/>
      <c r="H3" s="563"/>
      <c r="I3" s="563"/>
    </row>
    <row r="5" spans="1:10">
      <c r="A5" s="564" t="s">
        <v>319</v>
      </c>
      <c r="B5" s="564"/>
      <c r="C5" s="564"/>
      <c r="D5" s="564"/>
      <c r="E5" s="564"/>
      <c r="F5" s="564"/>
      <c r="G5" s="564"/>
      <c r="H5" s="564"/>
      <c r="I5" s="564"/>
    </row>
    <row r="6" spans="1:10">
      <c r="A6" s="564" t="s">
        <v>309</v>
      </c>
      <c r="B6" s="564"/>
      <c r="C6" s="564"/>
      <c r="D6" s="564"/>
      <c r="E6" s="564"/>
      <c r="F6" s="564"/>
      <c r="G6" s="564"/>
      <c r="H6" s="564"/>
      <c r="I6" s="564"/>
    </row>
    <row r="7" spans="1:10">
      <c r="A7" s="541"/>
      <c r="B7" s="541"/>
      <c r="C7" s="541"/>
      <c r="D7" s="541"/>
      <c r="E7" s="541"/>
      <c r="F7" s="541"/>
      <c r="G7" s="541"/>
      <c r="H7" s="541"/>
    </row>
    <row r="8" spans="1:10">
      <c r="F8" s="541" t="s">
        <v>86</v>
      </c>
    </row>
    <row r="9" spans="1:10">
      <c r="C9" s="264"/>
      <c r="D9" s="541" t="s">
        <v>469</v>
      </c>
      <c r="E9" s="541"/>
      <c r="F9" s="541" t="s">
        <v>565</v>
      </c>
      <c r="G9" s="541"/>
      <c r="H9" s="541" t="s">
        <v>677</v>
      </c>
    </row>
    <row r="10" spans="1:10">
      <c r="B10" s="564" t="s">
        <v>676</v>
      </c>
      <c r="C10" s="564"/>
      <c r="D10" s="541" t="s">
        <v>193</v>
      </c>
      <c r="E10" s="541"/>
      <c r="F10" s="541" t="s">
        <v>567</v>
      </c>
      <c r="G10" s="541"/>
      <c r="H10" s="541" t="s">
        <v>568</v>
      </c>
    </row>
    <row r="11" spans="1:10">
      <c r="C11" s="541" t="s">
        <v>397</v>
      </c>
      <c r="D11" s="541" t="s">
        <v>398</v>
      </c>
      <c r="E11" s="541"/>
      <c r="F11" s="541" t="s">
        <v>569</v>
      </c>
      <c r="G11" s="541"/>
      <c r="H11" s="541" t="s">
        <v>570</v>
      </c>
    </row>
    <row r="12" spans="1:10">
      <c r="B12" s="341" t="s">
        <v>571</v>
      </c>
      <c r="C12" s="276"/>
      <c r="D12" s="277"/>
      <c r="E12" s="277"/>
      <c r="F12" s="277"/>
      <c r="G12" s="277"/>
      <c r="H12" s="278"/>
    </row>
    <row r="13" spans="1:10">
      <c r="A13" s="285"/>
      <c r="B13" s="342"/>
      <c r="C13" s="281" t="s">
        <v>572</v>
      </c>
      <c r="D13" s="343">
        <v>17330</v>
      </c>
      <c r="E13" s="344"/>
      <c r="F13" s="343">
        <v>0</v>
      </c>
      <c r="G13" s="283"/>
      <c r="H13" s="284" t="s">
        <v>573</v>
      </c>
    </row>
    <row r="14" spans="1:10">
      <c r="A14" s="285"/>
      <c r="B14" s="345"/>
      <c r="C14" s="281" t="s">
        <v>180</v>
      </c>
      <c r="D14" s="343">
        <v>303120.46999999997</v>
      </c>
      <c r="E14" s="344"/>
      <c r="F14" s="343">
        <f>'Schedule 4 Workpaper page 2'!G670</f>
        <v>50609.211889258295</v>
      </c>
      <c r="G14" s="283"/>
      <c r="H14" s="284" t="s">
        <v>38</v>
      </c>
      <c r="J14" s="346"/>
    </row>
    <row r="15" spans="1:10">
      <c r="A15" s="285"/>
      <c r="B15" s="345"/>
      <c r="C15" s="281" t="s">
        <v>575</v>
      </c>
      <c r="D15" s="343">
        <v>1756475.81</v>
      </c>
      <c r="E15" s="344"/>
      <c r="F15" s="343">
        <f>'Schedule 4 Workpaper page 3'!F74</f>
        <v>334531.44</v>
      </c>
      <c r="G15" s="283"/>
      <c r="H15" s="284" t="s">
        <v>576</v>
      </c>
      <c r="J15" s="346"/>
    </row>
    <row r="16" spans="1:10">
      <c r="A16" s="285"/>
      <c r="B16" s="345"/>
      <c r="C16" s="281" t="s">
        <v>191</v>
      </c>
      <c r="D16" s="343">
        <v>1896417.76</v>
      </c>
      <c r="E16" s="344"/>
      <c r="F16" s="343">
        <f>'Schedule 4 Workpaper page 4'!C23</f>
        <v>734485.77999999991</v>
      </c>
      <c r="G16" s="283"/>
      <c r="H16" s="284" t="s">
        <v>574</v>
      </c>
    </row>
    <row r="17" spans="1:8" ht="51">
      <c r="A17" s="285"/>
      <c r="B17" s="345"/>
      <c r="C17" s="281" t="s">
        <v>577</v>
      </c>
      <c r="D17" s="343">
        <f>9852257.71+989713.17</f>
        <v>10841970.880000001</v>
      </c>
      <c r="E17" s="344"/>
      <c r="F17" s="343">
        <v>0</v>
      </c>
      <c r="G17" s="283"/>
      <c r="H17" s="284" t="s">
        <v>892</v>
      </c>
    </row>
    <row r="18" spans="1:8">
      <c r="A18" s="285"/>
      <c r="B18" s="347"/>
      <c r="C18" s="281" t="s">
        <v>557</v>
      </c>
      <c r="D18" s="13">
        <f>SUM(D13:D17)</f>
        <v>14815314.920000002</v>
      </c>
      <c r="E18" s="344"/>
      <c r="F18" s="13">
        <f>SUM(F13:F17)</f>
        <v>1119626.4318892583</v>
      </c>
      <c r="G18" s="283"/>
      <c r="H18" s="284" t="s">
        <v>678</v>
      </c>
    </row>
    <row r="19" spans="1:8">
      <c r="A19" s="285"/>
      <c r="B19" s="285"/>
      <c r="C19" s="348"/>
      <c r="D19" s="349"/>
      <c r="E19" s="349"/>
      <c r="F19" s="349"/>
      <c r="G19" s="350"/>
      <c r="H19" s="351"/>
    </row>
    <row r="20" spans="1:8" ht="13.5" customHeight="1">
      <c r="A20" s="285"/>
      <c r="B20" s="352" t="s">
        <v>917</v>
      </c>
      <c r="C20" s="353"/>
      <c r="D20" s="349"/>
      <c r="E20" s="349"/>
      <c r="F20" s="349"/>
      <c r="G20" s="350"/>
      <c r="H20" s="354"/>
    </row>
    <row r="21" spans="1:8" ht="39" customHeight="1">
      <c r="A21" s="285"/>
      <c r="B21" s="342"/>
      <c r="C21" s="281" t="s">
        <v>578</v>
      </c>
      <c r="D21" s="343">
        <v>943019.01</v>
      </c>
      <c r="E21" s="355"/>
      <c r="F21" s="343">
        <v>0</v>
      </c>
      <c r="G21" s="283"/>
      <c r="H21" s="356" t="s">
        <v>579</v>
      </c>
    </row>
    <row r="22" spans="1:8" ht="39" customHeight="1">
      <c r="A22" s="285"/>
      <c r="B22" s="345"/>
      <c r="C22" s="357" t="s">
        <v>918</v>
      </c>
      <c r="D22" s="343">
        <v>66960.42</v>
      </c>
      <c r="E22" s="355"/>
      <c r="F22" s="343">
        <v>0</v>
      </c>
      <c r="G22" s="283"/>
      <c r="H22" s="356" t="s">
        <v>919</v>
      </c>
    </row>
    <row r="23" spans="1:8" ht="11.25" customHeight="1">
      <c r="A23" s="285"/>
      <c r="B23" s="347"/>
      <c r="C23" s="357" t="s">
        <v>557</v>
      </c>
      <c r="D23" s="13">
        <f>SUM(D21:D22)</f>
        <v>1009979.43</v>
      </c>
      <c r="E23" s="344"/>
      <c r="F23" s="13">
        <f>SUM(F21)</f>
        <v>0</v>
      </c>
      <c r="G23" s="283"/>
      <c r="H23" s="356"/>
    </row>
    <row r="24" spans="1:8" ht="11.25" customHeight="1">
      <c r="A24" s="285"/>
      <c r="B24" s="285"/>
      <c r="C24" s="348"/>
      <c r="D24" s="358"/>
      <c r="E24" s="349"/>
      <c r="F24" s="349"/>
      <c r="G24" s="350"/>
      <c r="H24" s="359"/>
    </row>
    <row r="25" spans="1:8" ht="13.5" customHeight="1">
      <c r="A25" s="285"/>
      <c r="B25" s="360" t="s">
        <v>580</v>
      </c>
      <c r="C25" s="361"/>
      <c r="D25" s="349"/>
      <c r="E25" s="349"/>
      <c r="F25" s="349"/>
      <c r="G25" s="350"/>
      <c r="H25" s="362"/>
    </row>
    <row r="26" spans="1:8">
      <c r="A26" s="285"/>
      <c r="B26" s="285"/>
      <c r="C26" s="363" t="s">
        <v>581</v>
      </c>
      <c r="D26" s="364">
        <v>66666.7</v>
      </c>
      <c r="E26" s="355"/>
      <c r="F26" s="364">
        <v>0</v>
      </c>
      <c r="G26" s="283"/>
      <c r="H26" s="284" t="s">
        <v>87</v>
      </c>
    </row>
    <row r="27" spans="1:8">
      <c r="A27" s="285"/>
      <c r="B27" s="285"/>
      <c r="C27" s="281" t="s">
        <v>557</v>
      </c>
      <c r="D27" s="13">
        <f>SUM(D26)</f>
        <v>66666.7</v>
      </c>
      <c r="E27" s="344"/>
      <c r="F27" s="13">
        <f>SUM(F26)</f>
        <v>0</v>
      </c>
      <c r="G27" s="283"/>
      <c r="H27" s="284"/>
    </row>
    <row r="28" spans="1:8">
      <c r="A28" s="285"/>
      <c r="B28" s="285"/>
      <c r="C28" s="348"/>
      <c r="D28" s="349"/>
      <c r="E28" s="349"/>
      <c r="F28" s="349"/>
      <c r="G28" s="350"/>
      <c r="H28" s="351"/>
    </row>
    <row r="29" spans="1:8">
      <c r="A29" s="285"/>
      <c r="B29" s="360" t="s">
        <v>582</v>
      </c>
      <c r="C29" s="361"/>
      <c r="D29" s="349"/>
      <c r="E29" s="349"/>
      <c r="F29" s="349"/>
      <c r="G29" s="350"/>
      <c r="H29" s="354"/>
    </row>
    <row r="30" spans="1:8" ht="29.45" customHeight="1">
      <c r="A30" s="285"/>
      <c r="B30" s="345"/>
      <c r="C30" s="365" t="s">
        <v>1011</v>
      </c>
      <c r="D30" s="343">
        <v>87269.96</v>
      </c>
      <c r="E30" s="355"/>
      <c r="F30" s="343">
        <f>D30</f>
        <v>87269.96</v>
      </c>
      <c r="G30" s="283"/>
      <c r="H30" s="365" t="s">
        <v>1014</v>
      </c>
    </row>
    <row r="31" spans="1:8" ht="38.25">
      <c r="A31" s="285"/>
      <c r="B31" s="345"/>
      <c r="C31" s="365" t="s">
        <v>891</v>
      </c>
      <c r="D31" s="343">
        <v>3185508</v>
      </c>
      <c r="E31" s="355"/>
      <c r="F31" s="343">
        <f>D31</f>
        <v>3185508</v>
      </c>
      <c r="G31" s="283"/>
      <c r="H31" s="365" t="s">
        <v>1013</v>
      </c>
    </row>
    <row r="32" spans="1:8">
      <c r="A32" s="285"/>
      <c r="B32" s="347"/>
      <c r="C32" s="281" t="s">
        <v>557</v>
      </c>
      <c r="D32" s="13">
        <f>SUM(D30:D31)</f>
        <v>3272777.96</v>
      </c>
      <c r="E32" s="344"/>
      <c r="F32" s="13">
        <f>SUM(F30:F31)</f>
        <v>3272777.96</v>
      </c>
      <c r="G32" s="283"/>
      <c r="H32" s="284"/>
    </row>
    <row r="33" spans="1:9">
      <c r="A33" s="285"/>
      <c r="B33" s="285"/>
      <c r="C33" s="366"/>
      <c r="D33" s="350"/>
      <c r="E33" s="350"/>
      <c r="F33" s="350"/>
      <c r="G33" s="350"/>
      <c r="H33" s="350"/>
    </row>
    <row r="34" spans="1:9" ht="15.75" customHeight="1">
      <c r="A34" s="285"/>
      <c r="B34" s="367" t="s">
        <v>583</v>
      </c>
      <c r="C34" s="288"/>
      <c r="D34" s="13">
        <f>D18+D23+D27+D32</f>
        <v>19164739.010000002</v>
      </c>
      <c r="E34" s="283"/>
      <c r="F34" s="13">
        <f>F32+F27+F23+F18</f>
        <v>4392404.3918892583</v>
      </c>
      <c r="G34" s="283"/>
      <c r="H34" s="283" t="s">
        <v>24</v>
      </c>
      <c r="I34" s="255"/>
    </row>
    <row r="35" spans="1:9" ht="15.75" customHeight="1">
      <c r="A35" s="285"/>
      <c r="B35" s="264"/>
      <c r="C35" s="366"/>
      <c r="D35" s="350"/>
      <c r="E35" s="350"/>
      <c r="F35" s="350"/>
      <c r="G35" s="350"/>
      <c r="H35" s="350"/>
    </row>
    <row r="36" spans="1:9" ht="15.75" customHeight="1">
      <c r="A36" s="285"/>
      <c r="B36" s="287" t="s">
        <v>584</v>
      </c>
      <c r="C36" s="288"/>
      <c r="D36" s="283"/>
      <c r="E36" s="283"/>
      <c r="F36" s="13">
        <f>F18+F23+F27+F32</f>
        <v>4392404.3918892583</v>
      </c>
      <c r="G36" s="283"/>
      <c r="H36" s="283" t="s">
        <v>811</v>
      </c>
    </row>
    <row r="37" spans="1:9">
      <c r="D37" s="289"/>
      <c r="E37" s="289"/>
      <c r="F37" s="289"/>
      <c r="G37" s="289"/>
      <c r="H37" s="289"/>
    </row>
    <row r="38" spans="1:9">
      <c r="D38" s="289"/>
      <c r="E38" s="289"/>
      <c r="F38" s="289"/>
      <c r="G38" s="289"/>
      <c r="H38" s="289"/>
    </row>
    <row r="39" spans="1:9">
      <c r="D39" s="368"/>
      <c r="E39" s="368"/>
      <c r="F39" s="368"/>
      <c r="G39" s="289"/>
      <c r="H39" s="289"/>
    </row>
    <row r="40" spans="1:9">
      <c r="D40" s="368"/>
      <c r="E40" s="289"/>
      <c r="F40" s="368"/>
      <c r="G40" s="368"/>
      <c r="H40" s="369"/>
    </row>
    <row r="41" spans="1:9">
      <c r="C41" s="254"/>
      <c r="D41" s="368"/>
      <c r="E41" s="289"/>
      <c r="F41" s="368"/>
      <c r="G41" s="368"/>
      <c r="H41" s="263"/>
    </row>
    <row r="42" spans="1:9">
      <c r="D42" s="540"/>
      <c r="F42" s="540"/>
      <c r="G42" s="540"/>
      <c r="H42" s="370"/>
    </row>
    <row r="43" spans="1:9">
      <c r="D43" s="540"/>
      <c r="F43" s="540"/>
      <c r="G43" s="540"/>
      <c r="H43" s="371"/>
    </row>
    <row r="44" spans="1:9">
      <c r="D44" s="540"/>
      <c r="F44" s="540"/>
      <c r="G44" s="540"/>
      <c r="H44" s="371"/>
    </row>
    <row r="45" spans="1:9">
      <c r="C45" s="372"/>
      <c r="D45" s="368"/>
      <c r="E45" s="540"/>
      <c r="F45" s="368"/>
      <c r="G45" s="289"/>
      <c r="H45" s="373"/>
    </row>
    <row r="46" spans="1:9">
      <c r="C46" s="372"/>
      <c r="D46" s="368"/>
      <c r="E46" s="540"/>
      <c r="F46" s="368"/>
      <c r="G46" s="289"/>
      <c r="H46" s="373"/>
    </row>
    <row r="47" spans="1:9">
      <c r="C47" s="372"/>
      <c r="D47" s="368"/>
      <c r="E47" s="368"/>
      <c r="F47" s="368"/>
      <c r="G47" s="289"/>
      <c r="H47" s="373"/>
    </row>
    <row r="48" spans="1:9">
      <c r="C48" s="290"/>
      <c r="D48" s="289"/>
      <c r="H48" s="374"/>
    </row>
    <row r="49" spans="6:8">
      <c r="F49" s="368"/>
      <c r="H49" s="373"/>
    </row>
  </sheetData>
  <sheetProtection formatCells="0"/>
  <mergeCells count="6">
    <mergeCell ref="B10:C10"/>
    <mergeCell ref="A1:I1"/>
    <mergeCell ref="A2:I2"/>
    <mergeCell ref="A3:I3"/>
    <mergeCell ref="A5:I5"/>
    <mergeCell ref="A6:I6"/>
  </mergeCells>
  <phoneticPr fontId="18" type="noConversion"/>
  <printOptions horizontalCentered="1"/>
  <pageMargins left="0.75" right="0.75" top="1" bottom="1" header="0.5" footer="0.5"/>
  <pageSetup scale="61" orientation="portrait" r:id="rId1"/>
  <headerFooter alignWithMargins="0"/>
  <ignoredErrors>
    <ignoredError sqref="F3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N676"/>
  <sheetViews>
    <sheetView view="pageBreakPreview" topLeftCell="A635" zoomScaleNormal="100" zoomScaleSheetLayoutView="100" workbookViewId="0">
      <selection sqref="A1:XFD1048576"/>
    </sheetView>
  </sheetViews>
  <sheetFormatPr defaultColWidth="9.140625" defaultRowHeight="12.75"/>
  <cols>
    <col min="1" max="1" width="4" style="193" bestFit="1" customWidth="1"/>
    <col min="2" max="2" width="12.85546875" style="540" customWidth="1"/>
    <col min="3" max="3" width="8.42578125" style="540" bestFit="1" customWidth="1"/>
    <col min="4" max="4" width="8.5703125" style="540" bestFit="1" customWidth="1"/>
    <col min="5" max="5" width="31.7109375" style="540" customWidth="1"/>
    <col min="6" max="6" width="13.85546875" style="540" customWidth="1"/>
    <col min="7" max="7" width="14.85546875" style="321" bestFit="1" customWidth="1"/>
    <col min="8" max="8" width="32.85546875" style="193" customWidth="1"/>
    <col min="9" max="9" width="9" style="193" customWidth="1"/>
    <col min="10" max="11" width="9.140625" style="193"/>
    <col min="12" max="12" width="14.7109375" style="193" customWidth="1"/>
    <col min="13" max="13" width="9.140625" style="193"/>
    <col min="14" max="14" width="15" style="193" customWidth="1"/>
    <col min="15" max="15" width="9.140625" style="193" customWidth="1"/>
    <col min="16" max="16" width="25.7109375" style="193" customWidth="1"/>
    <col min="17" max="17" width="9.140625" style="193" customWidth="1"/>
    <col min="18" max="18" width="31.140625" style="193" customWidth="1"/>
    <col min="19" max="19" width="9.140625" style="193" customWidth="1"/>
    <col min="20" max="20" width="32.140625" style="193" customWidth="1"/>
    <col min="21" max="16384" width="9.140625" style="193"/>
  </cols>
  <sheetData>
    <row r="1" spans="1:13">
      <c r="A1" s="563" t="s">
        <v>459</v>
      </c>
      <c r="B1" s="563"/>
      <c r="C1" s="563"/>
      <c r="D1" s="563"/>
      <c r="E1" s="563"/>
      <c r="F1" s="563"/>
      <c r="G1" s="563"/>
      <c r="H1" s="563"/>
      <c r="I1" s="563"/>
    </row>
    <row r="2" spans="1:13">
      <c r="A2" s="563" t="s">
        <v>1038</v>
      </c>
      <c r="B2" s="563"/>
      <c r="C2" s="563"/>
      <c r="D2" s="563"/>
      <c r="E2" s="563"/>
      <c r="F2" s="563"/>
      <c r="G2" s="563"/>
      <c r="H2" s="563"/>
      <c r="I2" s="563"/>
    </row>
    <row r="3" spans="1:13">
      <c r="A3" s="563" t="str">
        <f>'Title Page'!A10</f>
        <v>FOR THE TWELVE MONTHS ENDED DECEMBER 31, 2023</v>
      </c>
      <c r="B3" s="563"/>
      <c r="C3" s="563"/>
      <c r="D3" s="563"/>
      <c r="E3" s="563"/>
      <c r="F3" s="563"/>
      <c r="G3" s="563"/>
      <c r="H3" s="563"/>
      <c r="I3" s="563"/>
    </row>
    <row r="5" spans="1:13">
      <c r="A5" s="564" t="s">
        <v>320</v>
      </c>
      <c r="B5" s="564"/>
      <c r="C5" s="564"/>
      <c r="D5" s="564"/>
      <c r="E5" s="564"/>
      <c r="F5" s="564"/>
      <c r="G5" s="564"/>
      <c r="H5" s="564"/>
      <c r="I5" s="564"/>
    </row>
    <row r="6" spans="1:13">
      <c r="A6" s="564" t="s">
        <v>810</v>
      </c>
      <c r="B6" s="564"/>
      <c r="C6" s="564"/>
      <c r="D6" s="564"/>
      <c r="E6" s="564"/>
      <c r="F6" s="564"/>
      <c r="G6" s="564"/>
      <c r="H6" s="564"/>
      <c r="I6" s="564"/>
    </row>
    <row r="7" spans="1:13">
      <c r="A7" s="564"/>
      <c r="B7" s="564"/>
      <c r="C7" s="564"/>
      <c r="D7" s="564"/>
      <c r="E7" s="564"/>
      <c r="F7" s="564"/>
      <c r="G7" s="564"/>
      <c r="H7" s="564"/>
    </row>
    <row r="8" spans="1:13" ht="13.5" thickBot="1">
      <c r="C8" s="320"/>
    </row>
    <row r="9" spans="1:13" ht="27" thickTop="1" thickBot="1">
      <c r="A9" s="540"/>
      <c r="B9" s="322" t="s">
        <v>994</v>
      </c>
      <c r="C9" s="322" t="s">
        <v>103</v>
      </c>
      <c r="D9" s="322" t="s">
        <v>605</v>
      </c>
      <c r="E9" s="322" t="s">
        <v>606</v>
      </c>
      <c r="F9" s="323" t="s">
        <v>651</v>
      </c>
      <c r="G9" s="324" t="s">
        <v>607</v>
      </c>
      <c r="H9" s="322" t="s">
        <v>608</v>
      </c>
      <c r="I9" s="325"/>
    </row>
    <row r="10" spans="1:13" s="255" customFormat="1" ht="13.5" thickTop="1">
      <c r="A10" s="326">
        <v>1</v>
      </c>
      <c r="B10" s="327">
        <v>44949</v>
      </c>
      <c r="C10" s="328" t="s">
        <v>948</v>
      </c>
      <c r="D10" s="329" t="s">
        <v>681</v>
      </c>
      <c r="E10" s="328" t="s">
        <v>1139</v>
      </c>
      <c r="F10" s="116" t="s">
        <v>795</v>
      </c>
      <c r="G10" s="118">
        <v>42.92</v>
      </c>
      <c r="H10" s="328" t="s">
        <v>1307</v>
      </c>
      <c r="J10" s="263"/>
    </row>
    <row r="11" spans="1:13" s="255" customFormat="1">
      <c r="A11" s="326">
        <f>A10+1</f>
        <v>2</v>
      </c>
      <c r="B11" s="327">
        <v>44949</v>
      </c>
      <c r="C11" s="328" t="s">
        <v>948</v>
      </c>
      <c r="D11" s="329" t="s">
        <v>681</v>
      </c>
      <c r="E11" s="328" t="s">
        <v>1130</v>
      </c>
      <c r="F11" s="116" t="s">
        <v>795</v>
      </c>
      <c r="G11" s="118">
        <v>44.2</v>
      </c>
      <c r="H11" s="328" t="s">
        <v>1307</v>
      </c>
      <c r="J11" s="263"/>
    </row>
    <row r="12" spans="1:13" s="255" customFormat="1">
      <c r="A12" s="326">
        <f t="shared" ref="A12:A75" si="0">A11+1</f>
        <v>3</v>
      </c>
      <c r="B12" s="327">
        <v>44949</v>
      </c>
      <c r="C12" s="328" t="s">
        <v>948</v>
      </c>
      <c r="D12" s="329" t="s">
        <v>681</v>
      </c>
      <c r="E12" s="255" t="s">
        <v>870</v>
      </c>
      <c r="F12" s="118" t="s">
        <v>795</v>
      </c>
      <c r="G12" s="118">
        <v>41.67</v>
      </c>
      <c r="H12" s="328" t="s">
        <v>1307</v>
      </c>
      <c r="J12" s="263"/>
    </row>
    <row r="13" spans="1:13" s="255" customFormat="1">
      <c r="A13" s="326">
        <f t="shared" si="0"/>
        <v>4</v>
      </c>
      <c r="B13" s="327">
        <v>44949</v>
      </c>
      <c r="C13" s="328" t="s">
        <v>948</v>
      </c>
      <c r="D13" s="329" t="s">
        <v>681</v>
      </c>
      <c r="E13" s="255" t="s">
        <v>852</v>
      </c>
      <c r="F13" s="116" t="s">
        <v>570</v>
      </c>
      <c r="G13" s="118">
        <v>41.67</v>
      </c>
      <c r="H13" s="328" t="s">
        <v>1307</v>
      </c>
      <c r="J13" s="263"/>
    </row>
    <row r="14" spans="1:13" s="255" customFormat="1">
      <c r="A14" s="326">
        <f t="shared" si="0"/>
        <v>5</v>
      </c>
      <c r="B14" s="327">
        <v>44949</v>
      </c>
      <c r="C14" s="328" t="s">
        <v>948</v>
      </c>
      <c r="D14" s="329" t="s">
        <v>681</v>
      </c>
      <c r="E14" s="328" t="s">
        <v>949</v>
      </c>
      <c r="F14" s="116" t="s">
        <v>609</v>
      </c>
      <c r="G14" s="118">
        <v>179.17</v>
      </c>
      <c r="H14" s="328" t="s">
        <v>1307</v>
      </c>
      <c r="J14" s="263"/>
    </row>
    <row r="15" spans="1:13" s="255" customFormat="1">
      <c r="A15" s="326">
        <f t="shared" si="0"/>
        <v>6</v>
      </c>
      <c r="B15" s="327">
        <v>44949</v>
      </c>
      <c r="C15" s="328" t="s">
        <v>948</v>
      </c>
      <c r="D15" s="329" t="s">
        <v>681</v>
      </c>
      <c r="E15" s="255" t="s">
        <v>909</v>
      </c>
      <c r="F15" s="118" t="s">
        <v>570</v>
      </c>
      <c r="G15" s="118">
        <v>51.24</v>
      </c>
      <c r="H15" s="328" t="s">
        <v>1307</v>
      </c>
      <c r="J15" s="263"/>
    </row>
    <row r="16" spans="1:13" s="255" customFormat="1">
      <c r="A16" s="326">
        <f t="shared" si="0"/>
        <v>7</v>
      </c>
      <c r="B16" s="327">
        <v>44949</v>
      </c>
      <c r="C16" s="328" t="s">
        <v>948</v>
      </c>
      <c r="D16" s="329" t="s">
        <v>681</v>
      </c>
      <c r="E16" s="255" t="s">
        <v>1025</v>
      </c>
      <c r="F16" s="118" t="s">
        <v>609</v>
      </c>
      <c r="G16" s="118">
        <v>41.67</v>
      </c>
      <c r="H16" s="328" t="s">
        <v>1307</v>
      </c>
      <c r="J16" s="263"/>
      <c r="M16" s="328"/>
    </row>
    <row r="17" spans="1:14" s="255" customFormat="1">
      <c r="A17" s="326">
        <f t="shared" si="0"/>
        <v>8</v>
      </c>
      <c r="B17" s="327">
        <v>44949</v>
      </c>
      <c r="C17" s="328" t="s">
        <v>948</v>
      </c>
      <c r="D17" s="329" t="s">
        <v>681</v>
      </c>
      <c r="E17" s="255" t="s">
        <v>1023</v>
      </c>
      <c r="F17" s="118" t="s">
        <v>795</v>
      </c>
      <c r="G17" s="118">
        <v>44.23</v>
      </c>
      <c r="H17" s="328" t="s">
        <v>1307</v>
      </c>
      <c r="J17" s="263"/>
      <c r="M17" s="328"/>
    </row>
    <row r="18" spans="1:14" s="255" customFormat="1">
      <c r="A18" s="326">
        <f t="shared" si="0"/>
        <v>9</v>
      </c>
      <c r="B18" s="327">
        <v>44949</v>
      </c>
      <c r="C18" s="328" t="s">
        <v>948</v>
      </c>
      <c r="D18" s="329" t="s">
        <v>681</v>
      </c>
      <c r="E18" s="255" t="s">
        <v>1023</v>
      </c>
      <c r="F18" s="118" t="s">
        <v>570</v>
      </c>
      <c r="G18" s="118">
        <v>44.2</v>
      </c>
      <c r="H18" s="328" t="s">
        <v>1307</v>
      </c>
      <c r="J18" s="263"/>
      <c r="M18" s="328"/>
    </row>
    <row r="19" spans="1:14" s="255" customFormat="1">
      <c r="A19" s="326">
        <f t="shared" si="0"/>
        <v>10</v>
      </c>
      <c r="B19" s="327">
        <v>44949</v>
      </c>
      <c r="C19" s="328" t="s">
        <v>948</v>
      </c>
      <c r="D19" s="329" t="s">
        <v>681</v>
      </c>
      <c r="E19" s="328" t="s">
        <v>1017</v>
      </c>
      <c r="F19" s="118" t="s">
        <v>795</v>
      </c>
      <c r="G19" s="118">
        <v>100</v>
      </c>
      <c r="H19" s="328" t="s">
        <v>1308</v>
      </c>
      <c r="J19" s="263"/>
      <c r="M19" s="328"/>
      <c r="N19" s="330"/>
    </row>
    <row r="20" spans="1:14" s="255" customFormat="1">
      <c r="A20" s="326">
        <f t="shared" si="0"/>
        <v>11</v>
      </c>
      <c r="B20" s="327">
        <v>44949</v>
      </c>
      <c r="C20" s="328" t="s">
        <v>948</v>
      </c>
      <c r="D20" s="329" t="s">
        <v>681</v>
      </c>
      <c r="E20" s="328" t="s">
        <v>950</v>
      </c>
      <c r="F20" s="116" t="s">
        <v>609</v>
      </c>
      <c r="G20" s="118">
        <v>259.77</v>
      </c>
      <c r="H20" s="328" t="s">
        <v>1307</v>
      </c>
      <c r="J20" s="263"/>
      <c r="M20" s="328"/>
    </row>
    <row r="21" spans="1:14" s="255" customFormat="1">
      <c r="A21" s="326">
        <f t="shared" si="0"/>
        <v>12</v>
      </c>
      <c r="B21" s="327">
        <v>44949</v>
      </c>
      <c r="C21" s="328" t="s">
        <v>948</v>
      </c>
      <c r="D21" s="329" t="s">
        <v>681</v>
      </c>
      <c r="E21" s="255" t="s">
        <v>950</v>
      </c>
      <c r="F21" s="118" t="s">
        <v>570</v>
      </c>
      <c r="G21" s="118">
        <v>166.67</v>
      </c>
      <c r="H21" s="328" t="s">
        <v>1307</v>
      </c>
      <c r="J21" s="263"/>
      <c r="M21" s="328"/>
    </row>
    <row r="22" spans="1:14" s="255" customFormat="1">
      <c r="A22" s="326">
        <f t="shared" si="0"/>
        <v>13</v>
      </c>
      <c r="B22" s="327">
        <v>44949</v>
      </c>
      <c r="C22" s="328" t="s">
        <v>948</v>
      </c>
      <c r="D22" s="329" t="s">
        <v>681</v>
      </c>
      <c r="E22" s="255" t="s">
        <v>950</v>
      </c>
      <c r="F22" s="118" t="s">
        <v>609</v>
      </c>
      <c r="G22" s="118">
        <v>150</v>
      </c>
      <c r="H22" s="328" t="s">
        <v>1307</v>
      </c>
      <c r="J22" s="263"/>
    </row>
    <row r="23" spans="1:14" s="255" customFormat="1">
      <c r="A23" s="326">
        <f t="shared" si="0"/>
        <v>14</v>
      </c>
      <c r="B23" s="327">
        <v>44949</v>
      </c>
      <c r="C23" s="328" t="s">
        <v>948</v>
      </c>
      <c r="D23" s="329" t="s">
        <v>681</v>
      </c>
      <c r="E23" s="255" t="s">
        <v>950</v>
      </c>
      <c r="F23" s="118" t="s">
        <v>609</v>
      </c>
      <c r="G23" s="118">
        <v>154.79</v>
      </c>
      <c r="H23" s="328" t="s">
        <v>1307</v>
      </c>
      <c r="J23" s="263"/>
    </row>
    <row r="24" spans="1:14" s="255" customFormat="1">
      <c r="A24" s="326">
        <f t="shared" si="0"/>
        <v>15</v>
      </c>
      <c r="B24" s="327">
        <v>44949</v>
      </c>
      <c r="C24" s="328" t="s">
        <v>948</v>
      </c>
      <c r="D24" s="329" t="s">
        <v>681</v>
      </c>
      <c r="E24" s="328" t="s">
        <v>951</v>
      </c>
      <c r="F24" s="118" t="s">
        <v>570</v>
      </c>
      <c r="G24" s="118">
        <v>1990.11</v>
      </c>
      <c r="H24" s="328" t="s">
        <v>1307</v>
      </c>
      <c r="J24" s="263"/>
    </row>
    <row r="25" spans="1:14" s="255" customFormat="1">
      <c r="A25" s="326">
        <f t="shared" si="0"/>
        <v>16</v>
      </c>
      <c r="B25" s="327">
        <v>44949</v>
      </c>
      <c r="C25" s="328" t="s">
        <v>948</v>
      </c>
      <c r="D25" s="329" t="s">
        <v>681</v>
      </c>
      <c r="E25" s="328" t="s">
        <v>952</v>
      </c>
      <c r="F25" s="118" t="s">
        <v>794</v>
      </c>
      <c r="G25" s="118">
        <v>953.64</v>
      </c>
      <c r="H25" s="328" t="s">
        <v>1307</v>
      </c>
      <c r="J25" s="263"/>
    </row>
    <row r="26" spans="1:14" s="255" customFormat="1">
      <c r="A26" s="326">
        <f t="shared" si="0"/>
        <v>17</v>
      </c>
      <c r="B26" s="327">
        <v>44949</v>
      </c>
      <c r="C26" s="328" t="s">
        <v>948</v>
      </c>
      <c r="D26" s="329" t="s">
        <v>681</v>
      </c>
      <c r="E26" s="328" t="s">
        <v>1125</v>
      </c>
      <c r="F26" s="116" t="s">
        <v>570</v>
      </c>
      <c r="G26" s="118">
        <v>68.62</v>
      </c>
      <c r="H26" s="328" t="s">
        <v>1307</v>
      </c>
      <c r="J26" s="263"/>
    </row>
    <row r="27" spans="1:14" s="255" customFormat="1">
      <c r="A27" s="326">
        <f t="shared" si="0"/>
        <v>18</v>
      </c>
      <c r="B27" s="327">
        <v>44949</v>
      </c>
      <c r="C27" s="328" t="s">
        <v>948</v>
      </c>
      <c r="D27" s="329" t="s">
        <v>681</v>
      </c>
      <c r="E27" s="328" t="s">
        <v>989</v>
      </c>
      <c r="F27" s="118" t="s">
        <v>609</v>
      </c>
      <c r="G27" s="118">
        <v>585.27</v>
      </c>
      <c r="H27" s="328" t="s">
        <v>1307</v>
      </c>
      <c r="J27" s="263"/>
    </row>
    <row r="28" spans="1:14" s="255" customFormat="1">
      <c r="A28" s="326">
        <f t="shared" si="0"/>
        <v>19</v>
      </c>
      <c r="B28" s="327">
        <v>44949</v>
      </c>
      <c r="C28" s="328" t="s">
        <v>948</v>
      </c>
      <c r="D28" s="329" t="s">
        <v>681</v>
      </c>
      <c r="E28" s="328" t="s">
        <v>850</v>
      </c>
      <c r="F28" s="118" t="s">
        <v>609</v>
      </c>
      <c r="G28" s="118">
        <v>809.22</v>
      </c>
      <c r="H28" s="328" t="s">
        <v>1307</v>
      </c>
      <c r="J28" s="263"/>
    </row>
    <row r="29" spans="1:14" s="255" customFormat="1">
      <c r="A29" s="326">
        <f t="shared" si="0"/>
        <v>20</v>
      </c>
      <c r="B29" s="327">
        <v>44949</v>
      </c>
      <c r="C29" s="328" t="s">
        <v>948</v>
      </c>
      <c r="D29" s="329" t="s">
        <v>681</v>
      </c>
      <c r="E29" s="328" t="s">
        <v>1172</v>
      </c>
      <c r="F29" s="118" t="s">
        <v>794</v>
      </c>
      <c r="G29" s="118">
        <v>83.33</v>
      </c>
      <c r="H29" s="328" t="s">
        <v>1307</v>
      </c>
      <c r="J29" s="263"/>
    </row>
    <row r="30" spans="1:14" s="255" customFormat="1">
      <c r="A30" s="326">
        <f t="shared" si="0"/>
        <v>21</v>
      </c>
      <c r="B30" s="327">
        <v>44949</v>
      </c>
      <c r="C30" s="328" t="s">
        <v>948</v>
      </c>
      <c r="D30" s="329" t="s">
        <v>681</v>
      </c>
      <c r="E30" s="328" t="s">
        <v>1126</v>
      </c>
      <c r="F30" s="118" t="s">
        <v>795</v>
      </c>
      <c r="G30" s="118">
        <v>226.07</v>
      </c>
      <c r="H30" s="328" t="s">
        <v>1307</v>
      </c>
      <c r="J30" s="263"/>
    </row>
    <row r="31" spans="1:14" s="255" customFormat="1">
      <c r="A31" s="326">
        <f t="shared" si="0"/>
        <v>22</v>
      </c>
      <c r="B31" s="327">
        <v>44949</v>
      </c>
      <c r="C31" s="328" t="s">
        <v>948</v>
      </c>
      <c r="D31" s="329" t="s">
        <v>681</v>
      </c>
      <c r="E31" s="255" t="s">
        <v>1024</v>
      </c>
      <c r="F31" s="118" t="s">
        <v>609</v>
      </c>
      <c r="G31" s="118">
        <v>44.2</v>
      </c>
      <c r="H31" s="328" t="s">
        <v>1307</v>
      </c>
      <c r="J31" s="263"/>
    </row>
    <row r="32" spans="1:14" s="255" customFormat="1">
      <c r="A32" s="326">
        <f t="shared" si="0"/>
        <v>23</v>
      </c>
      <c r="B32" s="327">
        <v>44949</v>
      </c>
      <c r="C32" s="328" t="s">
        <v>948</v>
      </c>
      <c r="D32" s="329" t="s">
        <v>681</v>
      </c>
      <c r="E32" s="328" t="s">
        <v>1309</v>
      </c>
      <c r="F32" s="118" t="s">
        <v>795</v>
      </c>
      <c r="G32" s="118">
        <v>400</v>
      </c>
      <c r="H32" s="328" t="s">
        <v>1308</v>
      </c>
      <c r="J32" s="263"/>
    </row>
    <row r="33" spans="1:10" s="255" customFormat="1">
      <c r="A33" s="326">
        <f t="shared" si="0"/>
        <v>24</v>
      </c>
      <c r="B33" s="327">
        <v>44949</v>
      </c>
      <c r="C33" s="328" t="s">
        <v>948</v>
      </c>
      <c r="D33" s="329" t="s">
        <v>681</v>
      </c>
      <c r="E33" s="328" t="s">
        <v>1018</v>
      </c>
      <c r="F33" s="116" t="s">
        <v>609</v>
      </c>
      <c r="G33" s="118">
        <v>41.67</v>
      </c>
      <c r="H33" s="328" t="s">
        <v>1307</v>
      </c>
      <c r="J33" s="263"/>
    </row>
    <row r="34" spans="1:10" s="255" customFormat="1">
      <c r="A34" s="326">
        <f t="shared" si="0"/>
        <v>25</v>
      </c>
      <c r="B34" s="327">
        <v>44949</v>
      </c>
      <c r="C34" s="328" t="s">
        <v>948</v>
      </c>
      <c r="D34" s="329" t="s">
        <v>681</v>
      </c>
      <c r="E34" s="328" t="s">
        <v>954</v>
      </c>
      <c r="F34" s="116" t="s">
        <v>795</v>
      </c>
      <c r="G34" s="118">
        <v>41.629999999999868</v>
      </c>
      <c r="H34" s="328" t="s">
        <v>1307</v>
      </c>
      <c r="J34" s="263"/>
    </row>
    <row r="35" spans="1:10" s="255" customFormat="1">
      <c r="A35" s="326">
        <f t="shared" si="0"/>
        <v>26</v>
      </c>
      <c r="B35" s="327">
        <v>44949</v>
      </c>
      <c r="C35" s="328" t="s">
        <v>948</v>
      </c>
      <c r="D35" s="329" t="s">
        <v>681</v>
      </c>
      <c r="E35" s="328" t="s">
        <v>954</v>
      </c>
      <c r="F35" s="116" t="s">
        <v>795</v>
      </c>
      <c r="G35" s="118">
        <v>66.630000000000067</v>
      </c>
      <c r="H35" s="328" t="s">
        <v>1307</v>
      </c>
      <c r="J35" s="263"/>
    </row>
    <row r="36" spans="1:10" s="255" customFormat="1">
      <c r="A36" s="326">
        <f t="shared" si="0"/>
        <v>27</v>
      </c>
      <c r="B36" s="327">
        <v>44949</v>
      </c>
      <c r="C36" s="328" t="s">
        <v>948</v>
      </c>
      <c r="D36" s="329" t="s">
        <v>681</v>
      </c>
      <c r="E36" s="328" t="s">
        <v>851</v>
      </c>
      <c r="F36" s="116" t="s">
        <v>795</v>
      </c>
      <c r="G36" s="118">
        <v>223.99</v>
      </c>
      <c r="H36" s="328" t="s">
        <v>1307</v>
      </c>
      <c r="J36" s="263"/>
    </row>
    <row r="37" spans="1:10" s="255" customFormat="1">
      <c r="A37" s="326">
        <f t="shared" si="0"/>
        <v>28</v>
      </c>
      <c r="B37" s="327">
        <v>44949</v>
      </c>
      <c r="C37" s="328" t="s">
        <v>948</v>
      </c>
      <c r="D37" s="329" t="s">
        <v>681</v>
      </c>
      <c r="E37" s="328" t="s">
        <v>1137</v>
      </c>
      <c r="F37" s="116" t="s">
        <v>795</v>
      </c>
      <c r="G37" s="118">
        <v>145.81</v>
      </c>
      <c r="H37" s="328" t="s">
        <v>1307</v>
      </c>
      <c r="J37" s="263"/>
    </row>
    <row r="38" spans="1:10" s="255" customFormat="1">
      <c r="A38" s="326">
        <f t="shared" si="0"/>
        <v>29</v>
      </c>
      <c r="B38" s="327">
        <v>44949</v>
      </c>
      <c r="C38" s="328" t="s">
        <v>948</v>
      </c>
      <c r="D38" s="329" t="s">
        <v>681</v>
      </c>
      <c r="E38" s="328" t="s">
        <v>956</v>
      </c>
      <c r="F38" s="116" t="s">
        <v>609</v>
      </c>
      <c r="G38" s="118">
        <v>141.19</v>
      </c>
      <c r="H38" s="328" t="s">
        <v>1307</v>
      </c>
      <c r="I38" s="328"/>
      <c r="J38" s="263"/>
    </row>
    <row r="39" spans="1:10" s="255" customFormat="1">
      <c r="A39" s="326">
        <f t="shared" si="0"/>
        <v>30</v>
      </c>
      <c r="B39" s="327">
        <v>44949</v>
      </c>
      <c r="C39" s="328" t="s">
        <v>948</v>
      </c>
      <c r="D39" s="329" t="s">
        <v>681</v>
      </c>
      <c r="E39" s="328" t="s">
        <v>1168</v>
      </c>
      <c r="F39" s="118" t="s">
        <v>795</v>
      </c>
      <c r="G39" s="118">
        <v>150</v>
      </c>
      <c r="H39" s="328" t="s">
        <v>1307</v>
      </c>
      <c r="J39" s="263"/>
    </row>
    <row r="40" spans="1:10" s="255" customFormat="1">
      <c r="A40" s="326">
        <f t="shared" si="0"/>
        <v>31</v>
      </c>
      <c r="B40" s="327">
        <v>44949</v>
      </c>
      <c r="C40" s="328" t="s">
        <v>948</v>
      </c>
      <c r="D40" s="329" t="s">
        <v>681</v>
      </c>
      <c r="E40" s="328" t="s">
        <v>1026</v>
      </c>
      <c r="F40" s="118" t="s">
        <v>794</v>
      </c>
      <c r="G40" s="118">
        <v>747.76</v>
      </c>
      <c r="H40" s="328" t="s">
        <v>1307</v>
      </c>
      <c r="J40" s="263"/>
    </row>
    <row r="41" spans="1:10" s="255" customFormat="1">
      <c r="A41" s="326">
        <f t="shared" si="0"/>
        <v>32</v>
      </c>
      <c r="B41" s="327">
        <v>44949</v>
      </c>
      <c r="C41" s="328" t="s">
        <v>948</v>
      </c>
      <c r="D41" s="329" t="s">
        <v>681</v>
      </c>
      <c r="E41" s="328" t="s">
        <v>1169</v>
      </c>
      <c r="F41" s="116" t="s">
        <v>609</v>
      </c>
      <c r="G41" s="118">
        <v>440</v>
      </c>
      <c r="H41" s="328" t="s">
        <v>1307</v>
      </c>
      <c r="J41" s="263"/>
    </row>
    <row r="42" spans="1:10" s="255" customFormat="1">
      <c r="A42" s="326">
        <f t="shared" si="0"/>
        <v>33</v>
      </c>
      <c r="B42" s="327">
        <v>44949</v>
      </c>
      <c r="C42" s="328" t="s">
        <v>948</v>
      </c>
      <c r="D42" s="329" t="s">
        <v>681</v>
      </c>
      <c r="E42" s="328" t="s">
        <v>1020</v>
      </c>
      <c r="F42" s="116" t="s">
        <v>794</v>
      </c>
      <c r="G42" s="118">
        <v>416.3</v>
      </c>
      <c r="H42" s="328" t="s">
        <v>1307</v>
      </c>
      <c r="J42" s="263"/>
    </row>
    <row r="43" spans="1:10" s="255" customFormat="1">
      <c r="A43" s="326">
        <f t="shared" si="0"/>
        <v>34</v>
      </c>
      <c r="B43" s="327">
        <v>44957</v>
      </c>
      <c r="C43" s="328" t="s">
        <v>907</v>
      </c>
      <c r="D43" s="329" t="s">
        <v>681</v>
      </c>
      <c r="E43" s="328" t="s">
        <v>1022</v>
      </c>
      <c r="F43" s="328" t="s">
        <v>795</v>
      </c>
      <c r="G43" s="118">
        <v>100</v>
      </c>
      <c r="H43" s="328" t="s">
        <v>1307</v>
      </c>
      <c r="J43" s="263"/>
    </row>
    <row r="44" spans="1:10" s="255" customFormat="1">
      <c r="A44" s="326">
        <f t="shared" si="0"/>
        <v>35</v>
      </c>
      <c r="B44" s="327">
        <v>44957</v>
      </c>
      <c r="C44" s="328" t="s">
        <v>907</v>
      </c>
      <c r="D44" s="329" t="s">
        <v>681</v>
      </c>
      <c r="E44" s="328" t="s">
        <v>1022</v>
      </c>
      <c r="F44" s="330" t="s">
        <v>795</v>
      </c>
      <c r="G44" s="118">
        <v>50</v>
      </c>
      <c r="H44" s="328" t="s">
        <v>1307</v>
      </c>
      <c r="J44" s="263"/>
    </row>
    <row r="45" spans="1:10" s="255" customFormat="1">
      <c r="A45" s="326">
        <f t="shared" si="0"/>
        <v>36</v>
      </c>
      <c r="B45" s="327">
        <v>44957</v>
      </c>
      <c r="C45" s="328" t="s">
        <v>907</v>
      </c>
      <c r="D45" s="329" t="s">
        <v>681</v>
      </c>
      <c r="E45" s="328" t="s">
        <v>897</v>
      </c>
      <c r="F45" s="330" t="s">
        <v>795</v>
      </c>
      <c r="G45" s="116">
        <v>62.5</v>
      </c>
      <c r="H45" s="328" t="s">
        <v>1307</v>
      </c>
      <c r="J45" s="263"/>
    </row>
    <row r="46" spans="1:10" s="255" customFormat="1">
      <c r="A46" s="326">
        <f t="shared" si="0"/>
        <v>37</v>
      </c>
      <c r="B46" s="327">
        <v>44957</v>
      </c>
      <c r="C46" s="328" t="s">
        <v>948</v>
      </c>
      <c r="D46" s="328" t="s">
        <v>681</v>
      </c>
      <c r="E46" s="328" t="s">
        <v>1132</v>
      </c>
      <c r="F46" s="330" t="s">
        <v>795</v>
      </c>
      <c r="G46" s="118">
        <v>493</v>
      </c>
      <c r="H46" s="328" t="s">
        <v>1307</v>
      </c>
      <c r="J46" s="263"/>
    </row>
    <row r="47" spans="1:10" s="255" customFormat="1">
      <c r="A47" s="326">
        <f t="shared" si="0"/>
        <v>38</v>
      </c>
      <c r="B47" s="327">
        <v>44957</v>
      </c>
      <c r="C47" s="328" t="s">
        <v>948</v>
      </c>
      <c r="D47" s="328" t="s">
        <v>681</v>
      </c>
      <c r="E47" s="328" t="s">
        <v>987</v>
      </c>
      <c r="F47" s="328" t="s">
        <v>570</v>
      </c>
      <c r="G47" s="116">
        <f>1002+398</f>
        <v>1400</v>
      </c>
      <c r="H47" s="328" t="s">
        <v>1307</v>
      </c>
      <c r="J47" s="263"/>
    </row>
    <row r="48" spans="1:10" s="255" customFormat="1">
      <c r="A48" s="326">
        <f t="shared" si="0"/>
        <v>39</v>
      </c>
      <c r="B48" s="327">
        <v>44957</v>
      </c>
      <c r="C48" s="328" t="s">
        <v>907</v>
      </c>
      <c r="D48" s="329" t="s">
        <v>681</v>
      </c>
      <c r="E48" s="328" t="s">
        <v>1015</v>
      </c>
      <c r="F48" s="328" t="s">
        <v>795</v>
      </c>
      <c r="G48" s="118">
        <v>75</v>
      </c>
      <c r="H48" s="328" t="s">
        <v>1307</v>
      </c>
      <c r="J48" s="263"/>
    </row>
    <row r="49" spans="1:10" s="255" customFormat="1">
      <c r="A49" s="326">
        <f t="shared" si="0"/>
        <v>40</v>
      </c>
      <c r="B49" s="327">
        <v>44957</v>
      </c>
      <c r="C49" s="328" t="s">
        <v>907</v>
      </c>
      <c r="D49" s="329" t="s">
        <v>681</v>
      </c>
      <c r="E49" s="328" t="s">
        <v>1016</v>
      </c>
      <c r="F49" s="328" t="s">
        <v>795</v>
      </c>
      <c r="G49" s="118">
        <v>100</v>
      </c>
      <c r="H49" s="328" t="s">
        <v>1308</v>
      </c>
      <c r="J49" s="263"/>
    </row>
    <row r="50" spans="1:10" s="255" customFormat="1">
      <c r="A50" s="326">
        <f t="shared" si="0"/>
        <v>41</v>
      </c>
      <c r="B50" s="327">
        <v>44957</v>
      </c>
      <c r="C50" s="328" t="s">
        <v>948</v>
      </c>
      <c r="D50" s="328" t="s">
        <v>681</v>
      </c>
      <c r="E50" s="328" t="s">
        <v>1129</v>
      </c>
      <c r="F50" s="328" t="s">
        <v>609</v>
      </c>
      <c r="G50" s="116">
        <v>939</v>
      </c>
      <c r="H50" s="328" t="s">
        <v>1307</v>
      </c>
      <c r="J50" s="263"/>
    </row>
    <row r="51" spans="1:10" s="255" customFormat="1">
      <c r="A51" s="326">
        <f t="shared" si="0"/>
        <v>42</v>
      </c>
      <c r="B51" s="327">
        <v>44957</v>
      </c>
      <c r="C51" s="328" t="s">
        <v>948</v>
      </c>
      <c r="D51" s="328" t="s">
        <v>681</v>
      </c>
      <c r="E51" s="328" t="s">
        <v>945</v>
      </c>
      <c r="F51" s="330" t="s">
        <v>795</v>
      </c>
      <c r="G51" s="116">
        <v>877</v>
      </c>
      <c r="H51" s="328" t="s">
        <v>1307</v>
      </c>
      <c r="J51" s="263"/>
    </row>
    <row r="52" spans="1:10" s="255" customFormat="1">
      <c r="A52" s="326">
        <f t="shared" si="0"/>
        <v>43</v>
      </c>
      <c r="B52" s="327">
        <v>44957</v>
      </c>
      <c r="C52" s="328" t="s">
        <v>948</v>
      </c>
      <c r="D52" s="328" t="s">
        <v>681</v>
      </c>
      <c r="E52" s="328" t="s">
        <v>1310</v>
      </c>
      <c r="F52" s="330" t="s">
        <v>609</v>
      </c>
      <c r="G52" s="116">
        <v>2100</v>
      </c>
      <c r="H52" s="328" t="s">
        <v>1307</v>
      </c>
      <c r="J52" s="263"/>
    </row>
    <row r="53" spans="1:10" s="255" customFormat="1">
      <c r="A53" s="326">
        <f t="shared" si="0"/>
        <v>44</v>
      </c>
      <c r="B53" s="327">
        <v>44957</v>
      </c>
      <c r="C53" s="328" t="s">
        <v>907</v>
      </c>
      <c r="D53" s="329" t="s">
        <v>681</v>
      </c>
      <c r="E53" s="255" t="s">
        <v>953</v>
      </c>
      <c r="F53" s="330" t="s">
        <v>795</v>
      </c>
      <c r="G53" s="118">
        <v>300</v>
      </c>
      <c r="H53" s="328" t="s">
        <v>1308</v>
      </c>
      <c r="J53" s="263"/>
    </row>
    <row r="54" spans="1:10" s="255" customFormat="1">
      <c r="A54" s="326">
        <f t="shared" si="0"/>
        <v>45</v>
      </c>
      <c r="B54" s="327">
        <v>44957</v>
      </c>
      <c r="C54" s="328" t="s">
        <v>907</v>
      </c>
      <c r="D54" s="329" t="s">
        <v>681</v>
      </c>
      <c r="E54" s="328" t="s">
        <v>1127</v>
      </c>
      <c r="F54" s="330" t="s">
        <v>795</v>
      </c>
      <c r="G54" s="116">
        <v>58.33</v>
      </c>
      <c r="H54" s="328" t="s">
        <v>1307</v>
      </c>
      <c r="J54" s="263"/>
    </row>
    <row r="55" spans="1:10" s="255" customFormat="1">
      <c r="A55" s="326">
        <f t="shared" si="0"/>
        <v>46</v>
      </c>
      <c r="B55" s="327">
        <v>44957</v>
      </c>
      <c r="C55" s="328" t="s">
        <v>907</v>
      </c>
      <c r="D55" s="329" t="s">
        <v>681</v>
      </c>
      <c r="E55" s="328" t="s">
        <v>1136</v>
      </c>
      <c r="F55" s="328" t="s">
        <v>795</v>
      </c>
      <c r="G55" s="118">
        <v>374.85</v>
      </c>
      <c r="H55" s="328" t="s">
        <v>1307</v>
      </c>
      <c r="J55" s="263"/>
    </row>
    <row r="56" spans="1:10" s="255" customFormat="1">
      <c r="A56" s="326">
        <f t="shared" si="0"/>
        <v>47</v>
      </c>
      <c r="B56" s="327">
        <v>44957</v>
      </c>
      <c r="C56" s="328" t="s">
        <v>907</v>
      </c>
      <c r="D56" s="329" t="s">
        <v>681</v>
      </c>
      <c r="E56" s="328" t="s">
        <v>1138</v>
      </c>
      <c r="F56" s="330" t="s">
        <v>795</v>
      </c>
      <c r="G56" s="116">
        <v>43.8</v>
      </c>
      <c r="H56" s="328" t="s">
        <v>1307</v>
      </c>
      <c r="J56" s="263"/>
    </row>
    <row r="57" spans="1:10" s="255" customFormat="1">
      <c r="A57" s="326">
        <f t="shared" si="0"/>
        <v>48</v>
      </c>
      <c r="B57" s="327">
        <v>44957</v>
      </c>
      <c r="C57" s="328" t="s">
        <v>948</v>
      </c>
      <c r="D57" s="328" t="s">
        <v>681</v>
      </c>
      <c r="E57" s="328" t="s">
        <v>955</v>
      </c>
      <c r="F57" s="330" t="s">
        <v>609</v>
      </c>
      <c r="G57" s="118">
        <v>2736.18</v>
      </c>
      <c r="H57" s="328" t="s">
        <v>1307</v>
      </c>
      <c r="J57" s="263"/>
    </row>
    <row r="58" spans="1:10" s="255" customFormat="1">
      <c r="A58" s="326">
        <f t="shared" si="0"/>
        <v>49</v>
      </c>
      <c r="B58" s="327">
        <v>44957</v>
      </c>
      <c r="C58" s="328" t="s">
        <v>948</v>
      </c>
      <c r="D58" s="328" t="s">
        <v>681</v>
      </c>
      <c r="E58" s="255" t="s">
        <v>990</v>
      </c>
      <c r="F58" s="328" t="s">
        <v>570</v>
      </c>
      <c r="G58" s="118">
        <v>949</v>
      </c>
      <c r="H58" s="328" t="s">
        <v>1307</v>
      </c>
      <c r="J58" s="263"/>
    </row>
    <row r="59" spans="1:10" s="255" customFormat="1">
      <c r="A59" s="326">
        <f t="shared" si="0"/>
        <v>50</v>
      </c>
      <c r="B59" s="327">
        <v>44957</v>
      </c>
      <c r="C59" s="328" t="s">
        <v>907</v>
      </c>
      <c r="D59" s="329" t="s">
        <v>681</v>
      </c>
      <c r="E59" s="328" t="s">
        <v>991</v>
      </c>
      <c r="F59" s="330" t="s">
        <v>795</v>
      </c>
      <c r="G59" s="118">
        <v>66.67</v>
      </c>
      <c r="H59" s="328" t="s">
        <v>1307</v>
      </c>
      <c r="J59" s="263"/>
    </row>
    <row r="60" spans="1:10" s="255" customFormat="1">
      <c r="A60" s="326">
        <f t="shared" si="0"/>
        <v>51</v>
      </c>
      <c r="B60" s="327">
        <v>44957</v>
      </c>
      <c r="C60" s="328" t="s">
        <v>907</v>
      </c>
      <c r="D60" s="329" t="s">
        <v>681</v>
      </c>
      <c r="E60" s="328" t="s">
        <v>1128</v>
      </c>
      <c r="F60" s="330" t="s">
        <v>795</v>
      </c>
      <c r="G60" s="118">
        <v>100</v>
      </c>
      <c r="H60" s="328" t="s">
        <v>1308</v>
      </c>
      <c r="J60" s="263"/>
    </row>
    <row r="61" spans="1:10" s="255" customFormat="1">
      <c r="A61" s="326">
        <f t="shared" si="0"/>
        <v>52</v>
      </c>
      <c r="B61" s="327">
        <v>44957</v>
      </c>
      <c r="C61" s="328" t="s">
        <v>948</v>
      </c>
      <c r="D61" s="328" t="s">
        <v>681</v>
      </c>
      <c r="E61" s="328" t="s">
        <v>1311</v>
      </c>
      <c r="F61" s="328" t="s">
        <v>609</v>
      </c>
      <c r="G61" s="118">
        <v>3302.56</v>
      </c>
      <c r="H61" s="328" t="s">
        <v>1307</v>
      </c>
      <c r="J61" s="263"/>
    </row>
    <row r="62" spans="1:10" s="255" customFormat="1">
      <c r="A62" s="326">
        <f t="shared" si="0"/>
        <v>53</v>
      </c>
      <c r="B62" s="327">
        <v>44957</v>
      </c>
      <c r="C62" s="328" t="s">
        <v>948</v>
      </c>
      <c r="D62" s="328" t="s">
        <v>681</v>
      </c>
      <c r="E62" s="328" t="s">
        <v>1133</v>
      </c>
      <c r="F62" s="330" t="s">
        <v>795</v>
      </c>
      <c r="G62" s="118">
        <v>1033</v>
      </c>
      <c r="H62" s="328" t="s">
        <v>1307</v>
      </c>
      <c r="J62" s="263"/>
    </row>
    <row r="63" spans="1:10" s="255" customFormat="1">
      <c r="A63" s="326">
        <f t="shared" si="0"/>
        <v>54</v>
      </c>
      <c r="B63" s="327">
        <v>44957</v>
      </c>
      <c r="C63" s="328" t="s">
        <v>907</v>
      </c>
      <c r="D63" s="329" t="s">
        <v>681</v>
      </c>
      <c r="E63" s="328" t="s">
        <v>1019</v>
      </c>
      <c r="F63" s="328" t="s">
        <v>795</v>
      </c>
      <c r="G63" s="118">
        <v>100</v>
      </c>
      <c r="H63" s="328" t="s">
        <v>1308</v>
      </c>
      <c r="J63" s="263"/>
    </row>
    <row r="64" spans="1:10" s="255" customFormat="1">
      <c r="A64" s="326">
        <f t="shared" si="0"/>
        <v>55</v>
      </c>
      <c r="B64" s="327">
        <v>44985</v>
      </c>
      <c r="C64" s="328" t="s">
        <v>907</v>
      </c>
      <c r="D64" s="329" t="s">
        <v>682</v>
      </c>
      <c r="E64" s="328" t="s">
        <v>1022</v>
      </c>
      <c r="F64" s="330" t="s">
        <v>795</v>
      </c>
      <c r="G64" s="118">
        <v>100</v>
      </c>
      <c r="H64" s="328" t="s">
        <v>1307</v>
      </c>
      <c r="J64" s="263"/>
    </row>
    <row r="65" spans="1:10" s="255" customFormat="1">
      <c r="A65" s="326">
        <f t="shared" si="0"/>
        <v>56</v>
      </c>
      <c r="B65" s="327">
        <v>44985</v>
      </c>
      <c r="C65" s="328" t="s">
        <v>907</v>
      </c>
      <c r="D65" s="329" t="s">
        <v>682</v>
      </c>
      <c r="E65" s="328" t="s">
        <v>1022</v>
      </c>
      <c r="F65" s="330" t="s">
        <v>795</v>
      </c>
      <c r="G65" s="118">
        <v>50</v>
      </c>
      <c r="H65" s="328" t="s">
        <v>1307</v>
      </c>
      <c r="J65" s="263"/>
    </row>
    <row r="66" spans="1:10" s="255" customFormat="1">
      <c r="A66" s="326">
        <f t="shared" si="0"/>
        <v>57</v>
      </c>
      <c r="B66" s="327">
        <v>44985</v>
      </c>
      <c r="C66" s="328" t="s">
        <v>948</v>
      </c>
      <c r="D66" s="329" t="s">
        <v>682</v>
      </c>
      <c r="E66" s="328" t="s">
        <v>1124</v>
      </c>
      <c r="F66" s="330" t="s">
        <v>795</v>
      </c>
      <c r="G66" s="116">
        <v>50</v>
      </c>
      <c r="H66" s="328" t="s">
        <v>1308</v>
      </c>
      <c r="J66" s="263"/>
    </row>
    <row r="67" spans="1:10" s="255" customFormat="1">
      <c r="A67" s="326">
        <f t="shared" si="0"/>
        <v>58</v>
      </c>
      <c r="B67" s="327">
        <v>44985</v>
      </c>
      <c r="C67" s="328" t="s">
        <v>948</v>
      </c>
      <c r="D67" s="329" t="s">
        <v>682</v>
      </c>
      <c r="E67" s="255" t="s">
        <v>1139</v>
      </c>
      <c r="F67" s="328" t="s">
        <v>795</v>
      </c>
      <c r="G67" s="118">
        <v>42.92</v>
      </c>
      <c r="H67" s="328" t="s">
        <v>1307</v>
      </c>
      <c r="J67" s="263"/>
    </row>
    <row r="68" spans="1:10" s="255" customFormat="1">
      <c r="A68" s="326">
        <f t="shared" si="0"/>
        <v>59</v>
      </c>
      <c r="B68" s="327">
        <v>44985</v>
      </c>
      <c r="C68" s="328" t="s">
        <v>907</v>
      </c>
      <c r="D68" s="329" t="s">
        <v>682</v>
      </c>
      <c r="E68" s="328" t="s">
        <v>897</v>
      </c>
      <c r="F68" s="330" t="s">
        <v>795</v>
      </c>
      <c r="G68" s="116">
        <v>62.5</v>
      </c>
      <c r="H68" s="328" t="s">
        <v>1307</v>
      </c>
      <c r="J68" s="263"/>
    </row>
    <row r="69" spans="1:10" s="255" customFormat="1">
      <c r="A69" s="326">
        <f t="shared" si="0"/>
        <v>60</v>
      </c>
      <c r="B69" s="327">
        <v>44985</v>
      </c>
      <c r="C69" s="328" t="s">
        <v>948</v>
      </c>
      <c r="D69" s="328" t="s">
        <v>682</v>
      </c>
      <c r="E69" s="328" t="s">
        <v>1312</v>
      </c>
      <c r="F69" s="330" t="s">
        <v>609</v>
      </c>
      <c r="G69" s="118">
        <v>1000</v>
      </c>
      <c r="H69" s="328" t="s">
        <v>1307</v>
      </c>
      <c r="J69" s="263"/>
    </row>
    <row r="70" spans="1:10" s="255" customFormat="1">
      <c r="A70" s="326">
        <f t="shared" si="0"/>
        <v>61</v>
      </c>
      <c r="B70" s="327">
        <v>44985</v>
      </c>
      <c r="C70" s="328" t="s">
        <v>948</v>
      </c>
      <c r="D70" s="328" t="s">
        <v>682</v>
      </c>
      <c r="E70" s="328" t="s">
        <v>1132</v>
      </c>
      <c r="F70" s="330" t="s">
        <v>795</v>
      </c>
      <c r="G70" s="118">
        <v>493</v>
      </c>
      <c r="H70" s="328" t="s">
        <v>1307</v>
      </c>
      <c r="J70" s="263"/>
    </row>
    <row r="71" spans="1:10" s="255" customFormat="1">
      <c r="A71" s="326">
        <f t="shared" si="0"/>
        <v>62</v>
      </c>
      <c r="B71" s="327">
        <v>44985</v>
      </c>
      <c r="C71" s="328" t="s">
        <v>948</v>
      </c>
      <c r="D71" s="328" t="s">
        <v>682</v>
      </c>
      <c r="E71" s="328" t="s">
        <v>987</v>
      </c>
      <c r="F71" s="328" t="s">
        <v>570</v>
      </c>
      <c r="G71" s="116">
        <v>400</v>
      </c>
      <c r="H71" s="328" t="s">
        <v>1307</v>
      </c>
      <c r="J71" s="263"/>
    </row>
    <row r="72" spans="1:10" s="255" customFormat="1">
      <c r="A72" s="326">
        <f t="shared" si="0"/>
        <v>63</v>
      </c>
      <c r="B72" s="327">
        <v>44985</v>
      </c>
      <c r="C72" s="328" t="s">
        <v>948</v>
      </c>
      <c r="D72" s="329" t="s">
        <v>682</v>
      </c>
      <c r="E72" s="328" t="s">
        <v>1130</v>
      </c>
      <c r="F72" s="328" t="s">
        <v>795</v>
      </c>
      <c r="G72" s="116">
        <v>44.2</v>
      </c>
      <c r="H72" s="328" t="s">
        <v>1307</v>
      </c>
      <c r="J72" s="263"/>
    </row>
    <row r="73" spans="1:10" s="255" customFormat="1">
      <c r="A73" s="326">
        <f t="shared" si="0"/>
        <v>64</v>
      </c>
      <c r="B73" s="327">
        <v>44985</v>
      </c>
      <c r="C73" s="328" t="s">
        <v>907</v>
      </c>
      <c r="D73" s="329" t="s">
        <v>682</v>
      </c>
      <c r="E73" s="328" t="s">
        <v>1015</v>
      </c>
      <c r="F73" s="330" t="s">
        <v>795</v>
      </c>
      <c r="G73" s="118">
        <v>75</v>
      </c>
      <c r="H73" s="328" t="s">
        <v>1307</v>
      </c>
      <c r="J73" s="263"/>
    </row>
    <row r="74" spans="1:10" s="255" customFormat="1">
      <c r="A74" s="326">
        <f t="shared" si="0"/>
        <v>65</v>
      </c>
      <c r="B74" s="327">
        <v>44985</v>
      </c>
      <c r="C74" s="328" t="s">
        <v>948</v>
      </c>
      <c r="D74" s="329" t="s">
        <v>682</v>
      </c>
      <c r="E74" s="255" t="s">
        <v>870</v>
      </c>
      <c r="F74" s="328" t="s">
        <v>795</v>
      </c>
      <c r="G74" s="118">
        <v>41.660000000000004</v>
      </c>
      <c r="H74" s="328" t="s">
        <v>1307</v>
      </c>
      <c r="J74" s="263"/>
    </row>
    <row r="75" spans="1:10" s="255" customFormat="1">
      <c r="A75" s="326">
        <f t="shared" si="0"/>
        <v>66</v>
      </c>
      <c r="B75" s="327">
        <v>44985</v>
      </c>
      <c r="C75" s="328" t="s">
        <v>948</v>
      </c>
      <c r="D75" s="329" t="s">
        <v>682</v>
      </c>
      <c r="E75" s="255" t="s">
        <v>852</v>
      </c>
      <c r="F75" s="328" t="s">
        <v>570</v>
      </c>
      <c r="G75" s="118">
        <v>41.67</v>
      </c>
      <c r="H75" s="328" t="s">
        <v>1307</v>
      </c>
      <c r="J75" s="263"/>
    </row>
    <row r="76" spans="1:10" s="255" customFormat="1">
      <c r="A76" s="326">
        <f t="shared" ref="A76:A139" si="1">A75+1</f>
        <v>67</v>
      </c>
      <c r="B76" s="327">
        <v>44985</v>
      </c>
      <c r="C76" s="328" t="s">
        <v>948</v>
      </c>
      <c r="D76" s="329" t="s">
        <v>682</v>
      </c>
      <c r="E76" s="328" t="s">
        <v>949</v>
      </c>
      <c r="F76" s="328" t="s">
        <v>609</v>
      </c>
      <c r="G76" s="116">
        <v>179.17</v>
      </c>
      <c r="H76" s="328" t="s">
        <v>1307</v>
      </c>
      <c r="J76" s="263"/>
    </row>
    <row r="77" spans="1:10" s="255" customFormat="1">
      <c r="A77" s="326">
        <f t="shared" si="1"/>
        <v>68</v>
      </c>
      <c r="B77" s="327">
        <v>44985</v>
      </c>
      <c r="C77" s="328" t="s">
        <v>948</v>
      </c>
      <c r="D77" s="329" t="s">
        <v>682</v>
      </c>
      <c r="E77" s="328" t="s">
        <v>909</v>
      </c>
      <c r="F77" s="328" t="s">
        <v>570</v>
      </c>
      <c r="G77" s="118">
        <v>51.25</v>
      </c>
      <c r="H77" s="328" t="s">
        <v>1307</v>
      </c>
      <c r="J77" s="263"/>
    </row>
    <row r="78" spans="1:10" s="255" customFormat="1">
      <c r="A78" s="326">
        <f t="shared" si="1"/>
        <v>69</v>
      </c>
      <c r="B78" s="327">
        <v>44985</v>
      </c>
      <c r="C78" s="328" t="s">
        <v>948</v>
      </c>
      <c r="D78" s="329" t="s">
        <v>682</v>
      </c>
      <c r="E78" s="328" t="s">
        <v>1025</v>
      </c>
      <c r="F78" s="328" t="s">
        <v>609</v>
      </c>
      <c r="G78" s="116">
        <v>41.67</v>
      </c>
      <c r="H78" s="328" t="s">
        <v>1307</v>
      </c>
      <c r="J78" s="263"/>
    </row>
    <row r="79" spans="1:10" s="255" customFormat="1">
      <c r="A79" s="326">
        <f t="shared" si="1"/>
        <v>70</v>
      </c>
      <c r="B79" s="327">
        <v>44985</v>
      </c>
      <c r="C79" s="328" t="s">
        <v>948</v>
      </c>
      <c r="D79" s="329" t="s">
        <v>682</v>
      </c>
      <c r="E79" s="328" t="s">
        <v>1023</v>
      </c>
      <c r="F79" s="330" t="s">
        <v>795</v>
      </c>
      <c r="G79" s="116">
        <v>44.22</v>
      </c>
      <c r="H79" s="328" t="s">
        <v>1307</v>
      </c>
      <c r="J79" s="263"/>
    </row>
    <row r="80" spans="1:10" s="255" customFormat="1">
      <c r="A80" s="326">
        <f t="shared" si="1"/>
        <v>71</v>
      </c>
      <c r="B80" s="327">
        <v>44985</v>
      </c>
      <c r="C80" s="328" t="s">
        <v>948</v>
      </c>
      <c r="D80" s="329" t="s">
        <v>682</v>
      </c>
      <c r="E80" s="255" t="s">
        <v>1023</v>
      </c>
      <c r="F80" s="328" t="s">
        <v>570</v>
      </c>
      <c r="G80" s="118">
        <v>44.2</v>
      </c>
      <c r="H80" s="328" t="s">
        <v>1307</v>
      </c>
      <c r="J80" s="263"/>
    </row>
    <row r="81" spans="1:10" s="255" customFormat="1">
      <c r="A81" s="326">
        <f t="shared" si="1"/>
        <v>72</v>
      </c>
      <c r="B81" s="327">
        <v>44985</v>
      </c>
      <c r="C81" s="328" t="s">
        <v>948</v>
      </c>
      <c r="D81" s="329" t="s">
        <v>682</v>
      </c>
      <c r="E81" s="328" t="s">
        <v>950</v>
      </c>
      <c r="F81" s="330" t="s">
        <v>609</v>
      </c>
      <c r="G81" s="118">
        <v>259.77</v>
      </c>
      <c r="H81" s="328" t="s">
        <v>1307</v>
      </c>
      <c r="J81" s="263"/>
    </row>
    <row r="82" spans="1:10" s="255" customFormat="1">
      <c r="A82" s="326">
        <f t="shared" si="1"/>
        <v>73</v>
      </c>
      <c r="B82" s="327">
        <v>44985</v>
      </c>
      <c r="C82" s="328" t="s">
        <v>948</v>
      </c>
      <c r="D82" s="329" t="s">
        <v>682</v>
      </c>
      <c r="E82" s="255" t="s">
        <v>950</v>
      </c>
      <c r="F82" s="328" t="s">
        <v>570</v>
      </c>
      <c r="G82" s="118">
        <v>166.67</v>
      </c>
      <c r="H82" s="328" t="s">
        <v>1307</v>
      </c>
      <c r="J82" s="263"/>
    </row>
    <row r="83" spans="1:10" s="255" customFormat="1">
      <c r="A83" s="326">
        <f t="shared" si="1"/>
        <v>74</v>
      </c>
      <c r="B83" s="327">
        <v>44985</v>
      </c>
      <c r="C83" s="328" t="s">
        <v>948</v>
      </c>
      <c r="D83" s="329" t="s">
        <v>682</v>
      </c>
      <c r="E83" s="328" t="s">
        <v>950</v>
      </c>
      <c r="F83" s="330" t="s">
        <v>609</v>
      </c>
      <c r="G83" s="118">
        <v>150</v>
      </c>
      <c r="H83" s="328" t="s">
        <v>1307</v>
      </c>
      <c r="J83" s="263"/>
    </row>
    <row r="84" spans="1:10" s="255" customFormat="1">
      <c r="A84" s="326">
        <f t="shared" si="1"/>
        <v>75</v>
      </c>
      <c r="B84" s="327">
        <v>44985</v>
      </c>
      <c r="C84" s="328" t="s">
        <v>948</v>
      </c>
      <c r="D84" s="329" t="s">
        <v>682</v>
      </c>
      <c r="E84" s="328" t="s">
        <v>950</v>
      </c>
      <c r="F84" s="330" t="s">
        <v>609</v>
      </c>
      <c r="G84" s="116">
        <v>154.79</v>
      </c>
      <c r="H84" s="328" t="s">
        <v>1307</v>
      </c>
      <c r="J84" s="263"/>
    </row>
    <row r="85" spans="1:10" s="255" customFormat="1">
      <c r="A85" s="326">
        <f t="shared" si="1"/>
        <v>76</v>
      </c>
      <c r="B85" s="327">
        <v>44985</v>
      </c>
      <c r="C85" s="328" t="s">
        <v>948</v>
      </c>
      <c r="D85" s="329" t="s">
        <v>682</v>
      </c>
      <c r="E85" s="328" t="s">
        <v>951</v>
      </c>
      <c r="F85" s="328" t="s">
        <v>570</v>
      </c>
      <c r="G85" s="118">
        <v>1990.11</v>
      </c>
      <c r="H85" s="328" t="s">
        <v>1307</v>
      </c>
      <c r="J85" s="263"/>
    </row>
    <row r="86" spans="1:10" s="255" customFormat="1">
      <c r="A86" s="326">
        <f t="shared" si="1"/>
        <v>77</v>
      </c>
      <c r="B86" s="327">
        <v>44985</v>
      </c>
      <c r="C86" s="328" t="s">
        <v>948</v>
      </c>
      <c r="D86" s="329" t="s">
        <v>682</v>
      </c>
      <c r="E86" s="328" t="s">
        <v>952</v>
      </c>
      <c r="F86" s="328" t="s">
        <v>794</v>
      </c>
      <c r="G86" s="116">
        <v>953.64</v>
      </c>
      <c r="H86" s="328" t="s">
        <v>1307</v>
      </c>
      <c r="J86" s="263"/>
    </row>
    <row r="87" spans="1:10" s="255" customFormat="1">
      <c r="A87" s="326">
        <f t="shared" si="1"/>
        <v>78</v>
      </c>
      <c r="B87" s="327">
        <v>44985</v>
      </c>
      <c r="C87" s="328" t="s">
        <v>948</v>
      </c>
      <c r="D87" s="328" t="s">
        <v>682</v>
      </c>
      <c r="E87" s="328" t="s">
        <v>1129</v>
      </c>
      <c r="F87" s="328" t="s">
        <v>609</v>
      </c>
      <c r="G87" s="116">
        <v>939</v>
      </c>
      <c r="H87" s="328" t="s">
        <v>1307</v>
      </c>
      <c r="J87" s="263"/>
    </row>
    <row r="88" spans="1:10" s="255" customFormat="1">
      <c r="A88" s="326">
        <f t="shared" si="1"/>
        <v>79</v>
      </c>
      <c r="B88" s="327">
        <v>44985</v>
      </c>
      <c r="C88" s="328" t="s">
        <v>948</v>
      </c>
      <c r="D88" s="328" t="s">
        <v>682</v>
      </c>
      <c r="E88" s="328" t="s">
        <v>945</v>
      </c>
      <c r="F88" s="330" t="s">
        <v>795</v>
      </c>
      <c r="G88" s="116">
        <v>877</v>
      </c>
      <c r="H88" s="328" t="s">
        <v>1307</v>
      </c>
      <c r="J88" s="263"/>
    </row>
    <row r="89" spans="1:10" s="255" customFormat="1">
      <c r="A89" s="326">
        <f t="shared" si="1"/>
        <v>80</v>
      </c>
      <c r="B89" s="327">
        <v>44985</v>
      </c>
      <c r="C89" s="328" t="s">
        <v>948</v>
      </c>
      <c r="D89" s="329" t="s">
        <v>682</v>
      </c>
      <c r="E89" s="255" t="s">
        <v>1125</v>
      </c>
      <c r="F89" s="328" t="s">
        <v>570</v>
      </c>
      <c r="G89" s="118">
        <v>68.62</v>
      </c>
      <c r="H89" s="328" t="s">
        <v>1307</v>
      </c>
      <c r="J89" s="263"/>
    </row>
    <row r="90" spans="1:10" s="255" customFormat="1">
      <c r="A90" s="326">
        <f t="shared" si="1"/>
        <v>81</v>
      </c>
      <c r="B90" s="327">
        <v>44985</v>
      </c>
      <c r="C90" s="328" t="s">
        <v>948</v>
      </c>
      <c r="D90" s="328" t="s">
        <v>682</v>
      </c>
      <c r="E90" s="328" t="s">
        <v>1310</v>
      </c>
      <c r="F90" s="330" t="s">
        <v>609</v>
      </c>
      <c r="G90" s="116">
        <v>2100</v>
      </c>
      <c r="H90" s="328" t="s">
        <v>1307</v>
      </c>
      <c r="J90" s="263"/>
    </row>
    <row r="91" spans="1:10" s="255" customFormat="1">
      <c r="A91" s="326">
        <f t="shared" si="1"/>
        <v>82</v>
      </c>
      <c r="B91" s="327">
        <v>44985</v>
      </c>
      <c r="C91" s="328" t="s">
        <v>948</v>
      </c>
      <c r="D91" s="329" t="s">
        <v>682</v>
      </c>
      <c r="E91" s="328" t="s">
        <v>989</v>
      </c>
      <c r="F91" s="328" t="s">
        <v>609</v>
      </c>
      <c r="G91" s="118">
        <v>585.27</v>
      </c>
      <c r="H91" s="328" t="s">
        <v>1307</v>
      </c>
      <c r="J91" s="263"/>
    </row>
    <row r="92" spans="1:10" s="255" customFormat="1">
      <c r="A92" s="326">
        <f t="shared" si="1"/>
        <v>83</v>
      </c>
      <c r="B92" s="327">
        <v>44985</v>
      </c>
      <c r="C92" s="328" t="s">
        <v>948</v>
      </c>
      <c r="D92" s="329" t="s">
        <v>682</v>
      </c>
      <c r="E92" s="255" t="s">
        <v>850</v>
      </c>
      <c r="F92" s="328" t="s">
        <v>609</v>
      </c>
      <c r="G92" s="118">
        <v>809.22</v>
      </c>
      <c r="H92" s="328" t="s">
        <v>1307</v>
      </c>
      <c r="J92" s="263"/>
    </row>
    <row r="93" spans="1:10" s="255" customFormat="1">
      <c r="A93" s="326">
        <f t="shared" si="1"/>
        <v>84</v>
      </c>
      <c r="B93" s="327">
        <v>44985</v>
      </c>
      <c r="C93" s="328" t="s">
        <v>948</v>
      </c>
      <c r="D93" s="329" t="s">
        <v>682</v>
      </c>
      <c r="E93" s="328" t="s">
        <v>1172</v>
      </c>
      <c r="F93" s="328" t="s">
        <v>794</v>
      </c>
      <c r="G93" s="118">
        <v>83.33</v>
      </c>
      <c r="H93" s="328" t="s">
        <v>1307</v>
      </c>
      <c r="J93" s="263"/>
    </row>
    <row r="94" spans="1:10" s="255" customFormat="1">
      <c r="A94" s="326">
        <f t="shared" si="1"/>
        <v>85</v>
      </c>
      <c r="B94" s="327">
        <v>44985</v>
      </c>
      <c r="C94" s="328" t="s">
        <v>948</v>
      </c>
      <c r="D94" s="329" t="s">
        <v>682</v>
      </c>
      <c r="E94" s="255" t="s">
        <v>1126</v>
      </c>
      <c r="F94" s="328" t="s">
        <v>795</v>
      </c>
      <c r="G94" s="118">
        <v>226.07</v>
      </c>
      <c r="H94" s="328" t="s">
        <v>1307</v>
      </c>
      <c r="J94" s="263"/>
    </row>
    <row r="95" spans="1:10" s="255" customFormat="1">
      <c r="A95" s="326">
        <f t="shared" si="1"/>
        <v>86</v>
      </c>
      <c r="B95" s="327">
        <v>44985</v>
      </c>
      <c r="C95" s="328" t="s">
        <v>948</v>
      </c>
      <c r="D95" s="329" t="s">
        <v>682</v>
      </c>
      <c r="E95" s="328" t="s">
        <v>1024</v>
      </c>
      <c r="F95" s="328" t="s">
        <v>609</v>
      </c>
      <c r="G95" s="116">
        <v>44.21</v>
      </c>
      <c r="H95" s="328" t="s">
        <v>1307</v>
      </c>
      <c r="J95" s="263"/>
    </row>
    <row r="96" spans="1:10" s="255" customFormat="1">
      <c r="A96" s="326">
        <f t="shared" si="1"/>
        <v>87</v>
      </c>
      <c r="B96" s="327">
        <v>44985</v>
      </c>
      <c r="C96" s="328" t="s">
        <v>907</v>
      </c>
      <c r="D96" s="329" t="s">
        <v>682</v>
      </c>
      <c r="E96" s="328" t="s">
        <v>1127</v>
      </c>
      <c r="F96" s="330" t="s">
        <v>795</v>
      </c>
      <c r="G96" s="118">
        <v>58.33</v>
      </c>
      <c r="H96" s="328" t="s">
        <v>1307</v>
      </c>
      <c r="J96" s="263"/>
    </row>
    <row r="97" spans="1:10" s="255" customFormat="1">
      <c r="A97" s="326">
        <f t="shared" si="1"/>
        <v>88</v>
      </c>
      <c r="B97" s="327">
        <v>44985</v>
      </c>
      <c r="C97" s="328" t="s">
        <v>948</v>
      </c>
      <c r="D97" s="329" t="s">
        <v>682</v>
      </c>
      <c r="E97" s="255" t="s">
        <v>1167</v>
      </c>
      <c r="F97" s="328" t="s">
        <v>795</v>
      </c>
      <c r="G97" s="118">
        <v>100</v>
      </c>
      <c r="H97" s="328" t="s">
        <v>1308</v>
      </c>
      <c r="J97" s="263"/>
    </row>
    <row r="98" spans="1:10" s="255" customFormat="1">
      <c r="A98" s="326">
        <f t="shared" si="1"/>
        <v>89</v>
      </c>
      <c r="B98" s="327">
        <v>44985</v>
      </c>
      <c r="C98" s="328" t="s">
        <v>948</v>
      </c>
      <c r="D98" s="329" t="s">
        <v>682</v>
      </c>
      <c r="E98" s="328" t="s">
        <v>1018</v>
      </c>
      <c r="F98" s="328" t="s">
        <v>609</v>
      </c>
      <c r="G98" s="116">
        <v>41.67</v>
      </c>
      <c r="H98" s="328" t="s">
        <v>1307</v>
      </c>
      <c r="J98" s="263"/>
    </row>
    <row r="99" spans="1:10" s="255" customFormat="1">
      <c r="A99" s="326">
        <f t="shared" si="1"/>
        <v>90</v>
      </c>
      <c r="B99" s="327">
        <v>44985</v>
      </c>
      <c r="C99" s="328" t="s">
        <v>948</v>
      </c>
      <c r="D99" s="329" t="s">
        <v>682</v>
      </c>
      <c r="E99" s="328" t="s">
        <v>954</v>
      </c>
      <c r="F99" s="328" t="s">
        <v>795</v>
      </c>
      <c r="G99" s="116">
        <v>41.67</v>
      </c>
      <c r="H99" s="328" t="s">
        <v>1307</v>
      </c>
      <c r="J99" s="263"/>
    </row>
    <row r="100" spans="1:10" s="255" customFormat="1">
      <c r="A100" s="326">
        <f t="shared" si="1"/>
        <v>91</v>
      </c>
      <c r="B100" s="327">
        <v>44985</v>
      </c>
      <c r="C100" s="328" t="s">
        <v>948</v>
      </c>
      <c r="D100" s="329" t="s">
        <v>682</v>
      </c>
      <c r="E100" s="255" t="s">
        <v>954</v>
      </c>
      <c r="F100" s="328" t="s">
        <v>795</v>
      </c>
      <c r="G100" s="118">
        <v>66.67</v>
      </c>
      <c r="H100" s="328" t="s">
        <v>1307</v>
      </c>
      <c r="J100" s="263"/>
    </row>
    <row r="101" spans="1:10" s="255" customFormat="1">
      <c r="A101" s="326">
        <f t="shared" si="1"/>
        <v>92</v>
      </c>
      <c r="B101" s="327">
        <v>44985</v>
      </c>
      <c r="C101" s="328" t="s">
        <v>948</v>
      </c>
      <c r="D101" s="329" t="s">
        <v>682</v>
      </c>
      <c r="E101" s="328" t="s">
        <v>851</v>
      </c>
      <c r="F101" s="328" t="s">
        <v>795</v>
      </c>
      <c r="G101" s="118">
        <v>223.99</v>
      </c>
      <c r="H101" s="328" t="s">
        <v>1307</v>
      </c>
      <c r="J101" s="263"/>
    </row>
    <row r="102" spans="1:10" s="255" customFormat="1">
      <c r="A102" s="326">
        <f t="shared" si="1"/>
        <v>93</v>
      </c>
      <c r="B102" s="327">
        <v>44985</v>
      </c>
      <c r="C102" s="328" t="s">
        <v>907</v>
      </c>
      <c r="D102" s="329" t="s">
        <v>682</v>
      </c>
      <c r="E102" s="328" t="s">
        <v>1136</v>
      </c>
      <c r="F102" s="330" t="s">
        <v>795</v>
      </c>
      <c r="G102" s="116">
        <v>374.85</v>
      </c>
      <c r="H102" s="328" t="s">
        <v>1307</v>
      </c>
      <c r="J102" s="263"/>
    </row>
    <row r="103" spans="1:10" s="255" customFormat="1">
      <c r="A103" s="326">
        <f t="shared" si="1"/>
        <v>94</v>
      </c>
      <c r="B103" s="327">
        <v>44985</v>
      </c>
      <c r="C103" s="328" t="s">
        <v>948</v>
      </c>
      <c r="D103" s="329" t="s">
        <v>682</v>
      </c>
      <c r="E103" s="328" t="s">
        <v>1137</v>
      </c>
      <c r="F103" s="328" t="s">
        <v>795</v>
      </c>
      <c r="G103" s="116">
        <v>145.81</v>
      </c>
      <c r="H103" s="328" t="s">
        <v>1307</v>
      </c>
      <c r="J103" s="263"/>
    </row>
    <row r="104" spans="1:10" s="255" customFormat="1">
      <c r="A104" s="326">
        <f t="shared" si="1"/>
        <v>95</v>
      </c>
      <c r="B104" s="327">
        <v>44985</v>
      </c>
      <c r="C104" s="328" t="s">
        <v>907</v>
      </c>
      <c r="D104" s="329" t="s">
        <v>682</v>
      </c>
      <c r="E104" s="255" t="s">
        <v>1138</v>
      </c>
      <c r="F104" s="330" t="s">
        <v>795</v>
      </c>
      <c r="G104" s="118">
        <v>43.8</v>
      </c>
      <c r="H104" s="328" t="s">
        <v>1307</v>
      </c>
      <c r="J104" s="263"/>
    </row>
    <row r="105" spans="1:10" s="255" customFormat="1">
      <c r="A105" s="326">
        <f t="shared" si="1"/>
        <v>96</v>
      </c>
      <c r="B105" s="327">
        <v>44985</v>
      </c>
      <c r="C105" s="328" t="s">
        <v>948</v>
      </c>
      <c r="D105" s="328" t="s">
        <v>682</v>
      </c>
      <c r="E105" s="328" t="s">
        <v>955</v>
      </c>
      <c r="F105" s="330" t="s">
        <v>609</v>
      </c>
      <c r="G105" s="118">
        <v>2736.18</v>
      </c>
      <c r="H105" s="328" t="s">
        <v>1307</v>
      </c>
      <c r="J105" s="263"/>
    </row>
    <row r="106" spans="1:10" s="255" customFormat="1">
      <c r="A106" s="326">
        <f t="shared" si="1"/>
        <v>97</v>
      </c>
      <c r="B106" s="327">
        <v>44985</v>
      </c>
      <c r="C106" s="328" t="s">
        <v>948</v>
      </c>
      <c r="D106" s="329" t="s">
        <v>682</v>
      </c>
      <c r="E106" s="328" t="s">
        <v>956</v>
      </c>
      <c r="F106" s="328" t="s">
        <v>609</v>
      </c>
      <c r="G106" s="118">
        <v>141.19</v>
      </c>
      <c r="H106" s="328" t="s">
        <v>1307</v>
      </c>
      <c r="J106" s="263"/>
    </row>
    <row r="107" spans="1:10" s="255" customFormat="1">
      <c r="A107" s="326">
        <f t="shared" si="1"/>
        <v>98</v>
      </c>
      <c r="B107" s="327">
        <v>44985</v>
      </c>
      <c r="C107" s="328" t="s">
        <v>948</v>
      </c>
      <c r="D107" s="328" t="s">
        <v>682</v>
      </c>
      <c r="E107" s="255" t="s">
        <v>990</v>
      </c>
      <c r="F107" s="328" t="s">
        <v>570</v>
      </c>
      <c r="G107" s="118">
        <v>949</v>
      </c>
      <c r="H107" s="328" t="s">
        <v>1307</v>
      </c>
      <c r="J107" s="263"/>
    </row>
    <row r="108" spans="1:10" s="255" customFormat="1">
      <c r="A108" s="326">
        <f t="shared" si="1"/>
        <v>99</v>
      </c>
      <c r="B108" s="327">
        <v>44985</v>
      </c>
      <c r="C108" s="328" t="s">
        <v>907</v>
      </c>
      <c r="D108" s="329" t="s">
        <v>682</v>
      </c>
      <c r="E108" s="328" t="s">
        <v>991</v>
      </c>
      <c r="F108" s="330" t="s">
        <v>795</v>
      </c>
      <c r="G108" s="118">
        <v>66.67</v>
      </c>
      <c r="H108" s="328" t="s">
        <v>1307</v>
      </c>
      <c r="J108" s="263"/>
    </row>
    <row r="109" spans="1:10" s="255" customFormat="1">
      <c r="A109" s="326">
        <f t="shared" si="1"/>
        <v>100</v>
      </c>
      <c r="B109" s="327">
        <v>44985</v>
      </c>
      <c r="C109" s="328" t="s">
        <v>948</v>
      </c>
      <c r="D109" s="329" t="s">
        <v>682</v>
      </c>
      <c r="E109" s="255" t="s">
        <v>1168</v>
      </c>
      <c r="F109" s="328" t="s">
        <v>795</v>
      </c>
      <c r="G109" s="118">
        <v>150</v>
      </c>
      <c r="H109" s="328" t="s">
        <v>1307</v>
      </c>
      <c r="J109" s="263"/>
    </row>
    <row r="110" spans="1:10" s="255" customFormat="1">
      <c r="A110" s="326">
        <f t="shared" si="1"/>
        <v>101</v>
      </c>
      <c r="B110" s="327">
        <v>44985</v>
      </c>
      <c r="C110" s="328" t="s">
        <v>948</v>
      </c>
      <c r="D110" s="328" t="s">
        <v>682</v>
      </c>
      <c r="E110" s="328" t="s">
        <v>1311</v>
      </c>
      <c r="F110" s="328" t="s">
        <v>609</v>
      </c>
      <c r="G110" s="118">
        <v>3317.71</v>
      </c>
      <c r="H110" s="328" t="s">
        <v>1307</v>
      </c>
      <c r="J110" s="263"/>
    </row>
    <row r="111" spans="1:10" s="255" customFormat="1">
      <c r="A111" s="326">
        <f t="shared" si="1"/>
        <v>102</v>
      </c>
      <c r="B111" s="327">
        <v>44985</v>
      </c>
      <c r="C111" s="328" t="s">
        <v>948</v>
      </c>
      <c r="D111" s="329" t="s">
        <v>682</v>
      </c>
      <c r="E111" s="328" t="s">
        <v>1026</v>
      </c>
      <c r="F111" s="328" t="s">
        <v>794</v>
      </c>
      <c r="G111" s="118">
        <v>747.76</v>
      </c>
      <c r="H111" s="328" t="s">
        <v>1307</v>
      </c>
      <c r="J111" s="263"/>
    </row>
    <row r="112" spans="1:10" s="255" customFormat="1">
      <c r="A112" s="326">
        <f t="shared" si="1"/>
        <v>103</v>
      </c>
      <c r="B112" s="327">
        <v>44985</v>
      </c>
      <c r="C112" s="328" t="s">
        <v>948</v>
      </c>
      <c r="D112" s="328" t="s">
        <v>682</v>
      </c>
      <c r="E112" s="328" t="s">
        <v>1133</v>
      </c>
      <c r="F112" s="330" t="s">
        <v>795</v>
      </c>
      <c r="G112" s="118">
        <v>1033</v>
      </c>
      <c r="H112" s="328" t="s">
        <v>1307</v>
      </c>
      <c r="J112" s="263"/>
    </row>
    <row r="113" spans="1:10" s="255" customFormat="1">
      <c r="A113" s="326">
        <f t="shared" si="1"/>
        <v>104</v>
      </c>
      <c r="B113" s="327">
        <v>44985</v>
      </c>
      <c r="C113" s="328" t="s">
        <v>948</v>
      </c>
      <c r="D113" s="329" t="s">
        <v>682</v>
      </c>
      <c r="E113" s="255" t="s">
        <v>1169</v>
      </c>
      <c r="F113" s="328" t="s">
        <v>609</v>
      </c>
      <c r="G113" s="118">
        <v>440</v>
      </c>
      <c r="H113" s="328" t="s">
        <v>1307</v>
      </c>
      <c r="J113" s="263"/>
    </row>
    <row r="114" spans="1:10" s="255" customFormat="1">
      <c r="A114" s="326">
        <f t="shared" si="1"/>
        <v>105</v>
      </c>
      <c r="B114" s="327">
        <v>44985</v>
      </c>
      <c r="C114" s="328" t="s">
        <v>948</v>
      </c>
      <c r="D114" s="329" t="s">
        <v>682</v>
      </c>
      <c r="E114" s="255" t="s">
        <v>1020</v>
      </c>
      <c r="F114" s="328" t="s">
        <v>794</v>
      </c>
      <c r="G114" s="118">
        <v>416.3</v>
      </c>
      <c r="H114" s="328" t="s">
        <v>1307</v>
      </c>
      <c r="J114" s="263"/>
    </row>
    <row r="115" spans="1:10" s="255" customFormat="1">
      <c r="A115" s="326">
        <f t="shared" si="1"/>
        <v>106</v>
      </c>
      <c r="B115" s="327">
        <v>44985</v>
      </c>
      <c r="C115" s="328" t="s">
        <v>948</v>
      </c>
      <c r="D115" s="329" t="s">
        <v>682</v>
      </c>
      <c r="E115" s="255" t="s">
        <v>1021</v>
      </c>
      <c r="F115" s="330" t="s">
        <v>795</v>
      </c>
      <c r="G115" s="118">
        <v>100</v>
      </c>
      <c r="H115" s="328" t="s">
        <v>1308</v>
      </c>
      <c r="J115" s="263"/>
    </row>
    <row r="116" spans="1:10" s="255" customFormat="1">
      <c r="A116" s="326">
        <f t="shared" si="1"/>
        <v>107</v>
      </c>
      <c r="B116" s="327">
        <v>45016</v>
      </c>
      <c r="C116" s="328" t="s">
        <v>907</v>
      </c>
      <c r="D116" s="329" t="s">
        <v>8</v>
      </c>
      <c r="E116" s="328" t="s">
        <v>1022</v>
      </c>
      <c r="F116" s="330" t="s">
        <v>795</v>
      </c>
      <c r="G116" s="118">
        <v>50</v>
      </c>
      <c r="H116" s="328" t="s">
        <v>1307</v>
      </c>
      <c r="J116" s="263"/>
    </row>
    <row r="117" spans="1:10" s="255" customFormat="1">
      <c r="A117" s="326">
        <f t="shared" si="1"/>
        <v>108</v>
      </c>
      <c r="B117" s="327">
        <v>45016</v>
      </c>
      <c r="C117" s="328" t="s">
        <v>907</v>
      </c>
      <c r="D117" s="329" t="s">
        <v>8</v>
      </c>
      <c r="E117" s="255" t="s">
        <v>1022</v>
      </c>
      <c r="F117" s="330" t="s">
        <v>795</v>
      </c>
      <c r="G117" s="118">
        <v>100</v>
      </c>
      <c r="H117" s="328" t="s">
        <v>1307</v>
      </c>
      <c r="J117" s="263"/>
    </row>
    <row r="118" spans="1:10" s="255" customFormat="1">
      <c r="A118" s="326">
        <f t="shared" si="1"/>
        <v>109</v>
      </c>
      <c r="B118" s="327">
        <v>45016</v>
      </c>
      <c r="C118" s="328" t="s">
        <v>948</v>
      </c>
      <c r="D118" s="329" t="s">
        <v>8</v>
      </c>
      <c r="E118" s="328" t="s">
        <v>1139</v>
      </c>
      <c r="F118" s="330" t="s">
        <v>795</v>
      </c>
      <c r="G118" s="118">
        <v>42.92</v>
      </c>
      <c r="H118" s="328" t="s">
        <v>1307</v>
      </c>
      <c r="J118" s="263"/>
    </row>
    <row r="119" spans="1:10" s="255" customFormat="1">
      <c r="A119" s="326">
        <f t="shared" si="1"/>
        <v>110</v>
      </c>
      <c r="B119" s="327">
        <v>45016</v>
      </c>
      <c r="C119" s="328" t="s">
        <v>907</v>
      </c>
      <c r="D119" s="329" t="s">
        <v>8</v>
      </c>
      <c r="E119" s="328" t="s">
        <v>1313</v>
      </c>
      <c r="F119" s="330" t="s">
        <v>795</v>
      </c>
      <c r="G119" s="118">
        <v>583.33000000000004</v>
      </c>
      <c r="H119" s="328" t="s">
        <v>1307</v>
      </c>
      <c r="J119" s="263"/>
    </row>
    <row r="120" spans="1:10" s="255" customFormat="1">
      <c r="A120" s="326">
        <f t="shared" si="1"/>
        <v>111</v>
      </c>
      <c r="B120" s="327">
        <v>45016</v>
      </c>
      <c r="C120" s="328" t="s">
        <v>907</v>
      </c>
      <c r="D120" s="329" t="s">
        <v>8</v>
      </c>
      <c r="E120" s="328" t="s">
        <v>897</v>
      </c>
      <c r="F120" s="330" t="s">
        <v>795</v>
      </c>
      <c r="G120" s="116">
        <v>62.5</v>
      </c>
      <c r="H120" s="328" t="s">
        <v>1307</v>
      </c>
      <c r="J120" s="263"/>
    </row>
    <row r="121" spans="1:10" s="255" customFormat="1">
      <c r="A121" s="326">
        <f t="shared" si="1"/>
        <v>112</v>
      </c>
      <c r="B121" s="327">
        <v>45016</v>
      </c>
      <c r="C121" s="328" t="s">
        <v>948</v>
      </c>
      <c r="D121" s="328" t="s">
        <v>8</v>
      </c>
      <c r="E121" s="328" t="s">
        <v>1312</v>
      </c>
      <c r="F121" s="330" t="s">
        <v>609</v>
      </c>
      <c r="G121" s="118">
        <v>1000</v>
      </c>
      <c r="H121" s="328" t="s">
        <v>1307</v>
      </c>
      <c r="J121" s="263"/>
    </row>
    <row r="122" spans="1:10" s="255" customFormat="1">
      <c r="A122" s="326">
        <f t="shared" si="1"/>
        <v>113</v>
      </c>
      <c r="B122" s="327">
        <v>45016</v>
      </c>
      <c r="C122" s="328" t="s">
        <v>948</v>
      </c>
      <c r="D122" s="328" t="s">
        <v>8</v>
      </c>
      <c r="E122" s="328" t="s">
        <v>1132</v>
      </c>
      <c r="F122" s="330" t="s">
        <v>795</v>
      </c>
      <c r="G122" s="118">
        <v>493</v>
      </c>
      <c r="H122" s="328" t="s">
        <v>1307</v>
      </c>
      <c r="J122" s="263"/>
    </row>
    <row r="123" spans="1:10" s="255" customFormat="1">
      <c r="A123" s="326">
        <f t="shared" si="1"/>
        <v>114</v>
      </c>
      <c r="B123" s="327">
        <v>45016</v>
      </c>
      <c r="C123" s="328" t="s">
        <v>948</v>
      </c>
      <c r="D123" s="328" t="s">
        <v>8</v>
      </c>
      <c r="E123" s="328" t="s">
        <v>987</v>
      </c>
      <c r="F123" s="328" t="s">
        <v>570</v>
      </c>
      <c r="G123" s="116">
        <v>400</v>
      </c>
      <c r="H123" s="328" t="s">
        <v>1307</v>
      </c>
      <c r="J123" s="263"/>
    </row>
    <row r="124" spans="1:10" s="255" customFormat="1">
      <c r="A124" s="326">
        <f t="shared" si="1"/>
        <v>115</v>
      </c>
      <c r="B124" s="327">
        <v>45016</v>
      </c>
      <c r="C124" s="328" t="s">
        <v>948</v>
      </c>
      <c r="D124" s="329" t="s">
        <v>8</v>
      </c>
      <c r="E124" s="328" t="s">
        <v>1130</v>
      </c>
      <c r="F124" s="328" t="s">
        <v>795</v>
      </c>
      <c r="G124" s="118">
        <v>44.21</v>
      </c>
      <c r="H124" s="328" t="s">
        <v>1307</v>
      </c>
      <c r="J124" s="263"/>
    </row>
    <row r="125" spans="1:10" s="255" customFormat="1">
      <c r="A125" s="326">
        <f t="shared" si="1"/>
        <v>116</v>
      </c>
      <c r="B125" s="327">
        <v>45016</v>
      </c>
      <c r="C125" s="328" t="s">
        <v>907</v>
      </c>
      <c r="D125" s="329" t="s">
        <v>8</v>
      </c>
      <c r="E125" s="328" t="s">
        <v>1015</v>
      </c>
      <c r="F125" s="330" t="s">
        <v>795</v>
      </c>
      <c r="G125" s="118">
        <v>75</v>
      </c>
      <c r="H125" s="328" t="s">
        <v>1307</v>
      </c>
      <c r="J125" s="263"/>
    </row>
    <row r="126" spans="1:10" s="255" customFormat="1">
      <c r="A126" s="326">
        <f t="shared" si="1"/>
        <v>117</v>
      </c>
      <c r="B126" s="327">
        <v>45016</v>
      </c>
      <c r="C126" s="328" t="s">
        <v>948</v>
      </c>
      <c r="D126" s="329" t="s">
        <v>8</v>
      </c>
      <c r="E126" s="255" t="s">
        <v>870</v>
      </c>
      <c r="F126" s="330" t="s">
        <v>795</v>
      </c>
      <c r="G126" s="118">
        <v>41.67</v>
      </c>
      <c r="H126" s="328" t="s">
        <v>1307</v>
      </c>
      <c r="J126" s="263"/>
    </row>
    <row r="127" spans="1:10" s="255" customFormat="1">
      <c r="A127" s="326">
        <f t="shared" si="1"/>
        <v>118</v>
      </c>
      <c r="B127" s="327">
        <v>45016</v>
      </c>
      <c r="C127" s="328" t="s">
        <v>948</v>
      </c>
      <c r="D127" s="329" t="s">
        <v>8</v>
      </c>
      <c r="E127" s="328" t="s">
        <v>852</v>
      </c>
      <c r="F127" s="330" t="s">
        <v>570</v>
      </c>
      <c r="G127" s="118">
        <v>41.67</v>
      </c>
      <c r="H127" s="328" t="s">
        <v>1307</v>
      </c>
      <c r="J127" s="263"/>
    </row>
    <row r="128" spans="1:10" s="255" customFormat="1">
      <c r="A128" s="326">
        <f t="shared" si="1"/>
        <v>119</v>
      </c>
      <c r="B128" s="327">
        <v>45016</v>
      </c>
      <c r="C128" s="328" t="s">
        <v>948</v>
      </c>
      <c r="D128" s="329" t="s">
        <v>8</v>
      </c>
      <c r="E128" s="328" t="s">
        <v>949</v>
      </c>
      <c r="F128" s="328" t="s">
        <v>609</v>
      </c>
      <c r="G128" s="116">
        <v>179.17</v>
      </c>
      <c r="H128" s="328" t="s">
        <v>1307</v>
      </c>
      <c r="J128" s="263"/>
    </row>
    <row r="129" spans="1:10" s="255" customFormat="1">
      <c r="A129" s="326">
        <f t="shared" si="1"/>
        <v>120</v>
      </c>
      <c r="B129" s="327">
        <v>45016</v>
      </c>
      <c r="C129" s="328" t="s">
        <v>948</v>
      </c>
      <c r="D129" s="329" t="s">
        <v>8</v>
      </c>
      <c r="E129" s="255" t="s">
        <v>909</v>
      </c>
      <c r="F129" s="330" t="s">
        <v>570</v>
      </c>
      <c r="G129" s="118">
        <v>52.78</v>
      </c>
      <c r="H129" s="328" t="s">
        <v>1307</v>
      </c>
      <c r="J129" s="263"/>
    </row>
    <row r="130" spans="1:10" s="255" customFormat="1">
      <c r="A130" s="326">
        <f t="shared" si="1"/>
        <v>121</v>
      </c>
      <c r="B130" s="327">
        <v>45016</v>
      </c>
      <c r="C130" s="328" t="s">
        <v>948</v>
      </c>
      <c r="D130" s="329" t="s">
        <v>8</v>
      </c>
      <c r="E130" s="328" t="s">
        <v>1025</v>
      </c>
      <c r="F130" s="330" t="s">
        <v>609</v>
      </c>
      <c r="G130" s="118">
        <v>41.67</v>
      </c>
      <c r="H130" s="328" t="s">
        <v>1307</v>
      </c>
      <c r="J130" s="263"/>
    </row>
    <row r="131" spans="1:10" s="255" customFormat="1">
      <c r="A131" s="326">
        <f t="shared" si="1"/>
        <v>122</v>
      </c>
      <c r="B131" s="327">
        <v>45016</v>
      </c>
      <c r="C131" s="328" t="s">
        <v>948</v>
      </c>
      <c r="D131" s="329" t="s">
        <v>8</v>
      </c>
      <c r="E131" s="328" t="s">
        <v>1023</v>
      </c>
      <c r="F131" s="330" t="s">
        <v>570</v>
      </c>
      <c r="G131" s="118">
        <v>44.2</v>
      </c>
      <c r="H131" s="328" t="s">
        <v>1307</v>
      </c>
      <c r="J131" s="263"/>
    </row>
    <row r="132" spans="1:10" s="255" customFormat="1">
      <c r="A132" s="326">
        <f t="shared" si="1"/>
        <v>123</v>
      </c>
      <c r="B132" s="327">
        <v>45016</v>
      </c>
      <c r="C132" s="328" t="s">
        <v>948</v>
      </c>
      <c r="D132" s="329" t="s">
        <v>8</v>
      </c>
      <c r="E132" s="255" t="s">
        <v>1023</v>
      </c>
      <c r="F132" s="330" t="s">
        <v>795</v>
      </c>
      <c r="G132" s="118">
        <v>45.53</v>
      </c>
      <c r="H132" s="328" t="s">
        <v>1307</v>
      </c>
      <c r="J132" s="263"/>
    </row>
    <row r="133" spans="1:10" s="255" customFormat="1">
      <c r="A133" s="326">
        <f t="shared" si="1"/>
        <v>124</v>
      </c>
      <c r="B133" s="327">
        <v>45016</v>
      </c>
      <c r="C133" s="328" t="s">
        <v>948</v>
      </c>
      <c r="D133" s="329" t="s">
        <v>8</v>
      </c>
      <c r="E133" s="328" t="s">
        <v>950</v>
      </c>
      <c r="F133" s="328" t="s">
        <v>609</v>
      </c>
      <c r="G133" s="116">
        <v>259.77999999999997</v>
      </c>
      <c r="H133" s="328" t="s">
        <v>1307</v>
      </c>
      <c r="J133" s="263"/>
    </row>
    <row r="134" spans="1:10" s="255" customFormat="1">
      <c r="A134" s="326">
        <f t="shared" si="1"/>
        <v>125</v>
      </c>
      <c r="B134" s="327">
        <v>45016</v>
      </c>
      <c r="C134" s="328" t="s">
        <v>948</v>
      </c>
      <c r="D134" s="329" t="s">
        <v>8</v>
      </c>
      <c r="E134" s="328" t="s">
        <v>950</v>
      </c>
      <c r="F134" s="330" t="s">
        <v>570</v>
      </c>
      <c r="G134" s="116">
        <v>166.67</v>
      </c>
      <c r="H134" s="328" t="s">
        <v>1307</v>
      </c>
      <c r="J134" s="263"/>
    </row>
    <row r="135" spans="1:10" s="255" customFormat="1">
      <c r="A135" s="326">
        <f t="shared" si="1"/>
        <v>126</v>
      </c>
      <c r="B135" s="327">
        <v>45016</v>
      </c>
      <c r="C135" s="328" t="s">
        <v>948</v>
      </c>
      <c r="D135" s="329" t="s">
        <v>8</v>
      </c>
      <c r="E135" s="328" t="s">
        <v>950</v>
      </c>
      <c r="F135" s="330" t="s">
        <v>609</v>
      </c>
      <c r="G135" s="118">
        <v>150</v>
      </c>
      <c r="H135" s="328" t="s">
        <v>1307</v>
      </c>
      <c r="J135" s="263"/>
    </row>
    <row r="136" spans="1:10" s="255" customFormat="1">
      <c r="A136" s="326">
        <f t="shared" si="1"/>
        <v>127</v>
      </c>
      <c r="B136" s="327">
        <v>45016</v>
      </c>
      <c r="C136" s="328" t="s">
        <v>948</v>
      </c>
      <c r="D136" s="329" t="s">
        <v>8</v>
      </c>
      <c r="E136" s="255" t="s">
        <v>950</v>
      </c>
      <c r="F136" s="330" t="s">
        <v>609</v>
      </c>
      <c r="G136" s="118">
        <v>154.79</v>
      </c>
      <c r="H136" s="328" t="s">
        <v>1307</v>
      </c>
      <c r="J136" s="263"/>
    </row>
    <row r="137" spans="1:10" s="255" customFormat="1">
      <c r="A137" s="326">
        <f t="shared" si="1"/>
        <v>128</v>
      </c>
      <c r="B137" s="327">
        <v>45016</v>
      </c>
      <c r="C137" s="328" t="s">
        <v>948</v>
      </c>
      <c r="D137" s="329" t="s">
        <v>8</v>
      </c>
      <c r="E137" s="328" t="s">
        <v>951</v>
      </c>
      <c r="F137" s="328" t="s">
        <v>570</v>
      </c>
      <c r="G137" s="118">
        <v>1990.11</v>
      </c>
      <c r="H137" s="328" t="s">
        <v>1307</v>
      </c>
      <c r="J137" s="263"/>
    </row>
    <row r="138" spans="1:10" s="255" customFormat="1">
      <c r="A138" s="326">
        <f t="shared" si="1"/>
        <v>129</v>
      </c>
      <c r="B138" s="327">
        <v>45016</v>
      </c>
      <c r="C138" s="328" t="s">
        <v>948</v>
      </c>
      <c r="D138" s="329" t="s">
        <v>8</v>
      </c>
      <c r="E138" s="255" t="s">
        <v>952</v>
      </c>
      <c r="F138" s="328" t="s">
        <v>794</v>
      </c>
      <c r="G138" s="118">
        <v>953.64</v>
      </c>
      <c r="H138" s="328" t="s">
        <v>1307</v>
      </c>
      <c r="J138" s="263"/>
    </row>
    <row r="139" spans="1:10" s="255" customFormat="1">
      <c r="A139" s="326">
        <f t="shared" si="1"/>
        <v>130</v>
      </c>
      <c r="B139" s="327">
        <v>45016</v>
      </c>
      <c r="C139" s="328" t="s">
        <v>948</v>
      </c>
      <c r="D139" s="328" t="s">
        <v>8</v>
      </c>
      <c r="E139" s="328" t="s">
        <v>1129</v>
      </c>
      <c r="F139" s="328" t="s">
        <v>609</v>
      </c>
      <c r="G139" s="116">
        <v>939</v>
      </c>
      <c r="H139" s="328" t="s">
        <v>1307</v>
      </c>
      <c r="J139" s="263"/>
    </row>
    <row r="140" spans="1:10" s="255" customFormat="1">
      <c r="A140" s="326">
        <f t="shared" ref="A140:A203" si="2">A139+1</f>
        <v>131</v>
      </c>
      <c r="B140" s="327">
        <v>45016</v>
      </c>
      <c r="C140" s="328" t="s">
        <v>948</v>
      </c>
      <c r="D140" s="328" t="s">
        <v>8</v>
      </c>
      <c r="E140" s="328" t="s">
        <v>945</v>
      </c>
      <c r="F140" s="330" t="s">
        <v>795</v>
      </c>
      <c r="G140" s="116">
        <v>877</v>
      </c>
      <c r="H140" s="328" t="s">
        <v>1307</v>
      </c>
      <c r="J140" s="263"/>
    </row>
    <row r="141" spans="1:10" s="255" customFormat="1">
      <c r="A141" s="326">
        <f t="shared" si="2"/>
        <v>132</v>
      </c>
      <c r="B141" s="327">
        <v>45016</v>
      </c>
      <c r="C141" s="328" t="s">
        <v>948</v>
      </c>
      <c r="D141" s="329" t="s">
        <v>8</v>
      </c>
      <c r="E141" s="255" t="s">
        <v>1125</v>
      </c>
      <c r="F141" s="328" t="s">
        <v>570</v>
      </c>
      <c r="G141" s="118">
        <v>68.62</v>
      </c>
      <c r="H141" s="328" t="s">
        <v>1307</v>
      </c>
      <c r="J141" s="263"/>
    </row>
    <row r="142" spans="1:10" s="255" customFormat="1">
      <c r="A142" s="326">
        <f t="shared" si="2"/>
        <v>133</v>
      </c>
      <c r="B142" s="327">
        <v>45016</v>
      </c>
      <c r="C142" s="328" t="s">
        <v>948</v>
      </c>
      <c r="D142" s="328" t="s">
        <v>8</v>
      </c>
      <c r="E142" s="328" t="s">
        <v>1310</v>
      </c>
      <c r="F142" s="330" t="s">
        <v>609</v>
      </c>
      <c r="G142" s="116">
        <v>2100</v>
      </c>
      <c r="H142" s="328" t="s">
        <v>1307</v>
      </c>
      <c r="J142" s="263"/>
    </row>
    <row r="143" spans="1:10" s="255" customFormat="1">
      <c r="A143" s="326">
        <f t="shared" si="2"/>
        <v>134</v>
      </c>
      <c r="B143" s="327">
        <v>45016</v>
      </c>
      <c r="C143" s="328" t="s">
        <v>948</v>
      </c>
      <c r="D143" s="329" t="s">
        <v>8</v>
      </c>
      <c r="E143" s="328" t="s">
        <v>989</v>
      </c>
      <c r="F143" s="328" t="s">
        <v>609</v>
      </c>
      <c r="G143" s="118">
        <v>585.27</v>
      </c>
      <c r="H143" s="328" t="s">
        <v>1307</v>
      </c>
      <c r="J143" s="263"/>
    </row>
    <row r="144" spans="1:10" s="255" customFormat="1">
      <c r="A144" s="326">
        <f t="shared" si="2"/>
        <v>135</v>
      </c>
      <c r="B144" s="327">
        <v>45016</v>
      </c>
      <c r="C144" s="328" t="s">
        <v>948</v>
      </c>
      <c r="D144" s="329" t="s">
        <v>8</v>
      </c>
      <c r="E144" s="328" t="s">
        <v>850</v>
      </c>
      <c r="F144" s="328" t="s">
        <v>609</v>
      </c>
      <c r="G144" s="116">
        <v>809.22</v>
      </c>
      <c r="H144" s="328" t="s">
        <v>1307</v>
      </c>
      <c r="J144" s="263"/>
    </row>
    <row r="145" spans="1:10" s="255" customFormat="1">
      <c r="A145" s="326">
        <f t="shared" si="2"/>
        <v>136</v>
      </c>
      <c r="B145" s="327">
        <v>45016</v>
      </c>
      <c r="C145" s="328" t="s">
        <v>948</v>
      </c>
      <c r="D145" s="329" t="s">
        <v>8</v>
      </c>
      <c r="E145" s="328" t="s">
        <v>1172</v>
      </c>
      <c r="F145" s="328" t="s">
        <v>794</v>
      </c>
      <c r="G145" s="118">
        <v>83.33</v>
      </c>
      <c r="H145" s="328" t="s">
        <v>1307</v>
      </c>
      <c r="J145" s="263"/>
    </row>
    <row r="146" spans="1:10" s="255" customFormat="1">
      <c r="A146" s="326">
        <f t="shared" si="2"/>
        <v>137</v>
      </c>
      <c r="B146" s="327">
        <v>45016</v>
      </c>
      <c r="C146" s="328" t="s">
        <v>948</v>
      </c>
      <c r="D146" s="329" t="s">
        <v>8</v>
      </c>
      <c r="E146" s="328" t="s">
        <v>1126</v>
      </c>
      <c r="F146" s="330" t="s">
        <v>795</v>
      </c>
      <c r="G146" s="118">
        <v>226.07</v>
      </c>
      <c r="H146" s="328" t="s">
        <v>1307</v>
      </c>
      <c r="J146" s="263"/>
    </row>
    <row r="147" spans="1:10" s="255" customFormat="1">
      <c r="A147" s="326">
        <f t="shared" si="2"/>
        <v>138</v>
      </c>
      <c r="B147" s="327">
        <v>45016</v>
      </c>
      <c r="C147" s="328" t="s">
        <v>948</v>
      </c>
      <c r="D147" s="329" t="s">
        <v>8</v>
      </c>
      <c r="E147" s="255" t="s">
        <v>1024</v>
      </c>
      <c r="F147" s="328" t="s">
        <v>609</v>
      </c>
      <c r="G147" s="118">
        <v>45.53</v>
      </c>
      <c r="H147" s="328" t="s">
        <v>1307</v>
      </c>
      <c r="J147" s="263"/>
    </row>
    <row r="148" spans="1:10" s="255" customFormat="1">
      <c r="A148" s="326">
        <f t="shared" si="2"/>
        <v>139</v>
      </c>
      <c r="B148" s="327">
        <v>45016</v>
      </c>
      <c r="C148" s="328" t="s">
        <v>907</v>
      </c>
      <c r="D148" s="329" t="s">
        <v>8</v>
      </c>
      <c r="E148" s="328" t="s">
        <v>1127</v>
      </c>
      <c r="F148" s="330" t="s">
        <v>795</v>
      </c>
      <c r="G148" s="116">
        <v>58.33</v>
      </c>
      <c r="H148" s="328" t="s">
        <v>1307</v>
      </c>
      <c r="J148" s="263"/>
    </row>
    <row r="149" spans="1:10" s="255" customFormat="1">
      <c r="A149" s="326">
        <f t="shared" si="2"/>
        <v>140</v>
      </c>
      <c r="B149" s="327">
        <v>45016</v>
      </c>
      <c r="C149" s="328" t="s">
        <v>948</v>
      </c>
      <c r="D149" s="329" t="s">
        <v>8</v>
      </c>
      <c r="E149" s="328" t="s">
        <v>1018</v>
      </c>
      <c r="F149" s="328" t="s">
        <v>609</v>
      </c>
      <c r="G149" s="118">
        <v>41.67</v>
      </c>
      <c r="H149" s="328" t="s">
        <v>1307</v>
      </c>
      <c r="J149" s="263"/>
    </row>
    <row r="150" spans="1:10" s="255" customFormat="1">
      <c r="A150" s="326">
        <f t="shared" si="2"/>
        <v>141</v>
      </c>
      <c r="B150" s="327">
        <v>45016</v>
      </c>
      <c r="C150" s="328" t="s">
        <v>948</v>
      </c>
      <c r="D150" s="329" t="s">
        <v>8</v>
      </c>
      <c r="E150" s="328" t="s">
        <v>954</v>
      </c>
      <c r="F150" s="330" t="s">
        <v>795</v>
      </c>
      <c r="G150" s="118">
        <v>41.67</v>
      </c>
      <c r="H150" s="328" t="s">
        <v>1307</v>
      </c>
      <c r="J150" s="263"/>
    </row>
    <row r="151" spans="1:10" s="255" customFormat="1">
      <c r="A151" s="326">
        <f t="shared" si="2"/>
        <v>142</v>
      </c>
      <c r="B151" s="327">
        <v>45016</v>
      </c>
      <c r="C151" s="328" t="s">
        <v>948</v>
      </c>
      <c r="D151" s="329" t="s">
        <v>8</v>
      </c>
      <c r="E151" s="328" t="s">
        <v>954</v>
      </c>
      <c r="F151" s="328" t="s">
        <v>795</v>
      </c>
      <c r="G151" s="116">
        <v>66.67</v>
      </c>
      <c r="H151" s="328" t="s">
        <v>1307</v>
      </c>
      <c r="J151" s="263"/>
    </row>
    <row r="152" spans="1:10" s="255" customFormat="1">
      <c r="A152" s="326">
        <f t="shared" si="2"/>
        <v>143</v>
      </c>
      <c r="B152" s="327">
        <v>45016</v>
      </c>
      <c r="C152" s="328" t="s">
        <v>948</v>
      </c>
      <c r="D152" s="329" t="s">
        <v>8</v>
      </c>
      <c r="E152" s="328" t="s">
        <v>851</v>
      </c>
      <c r="F152" s="330" t="s">
        <v>795</v>
      </c>
      <c r="G152" s="118">
        <v>223.98000000000002</v>
      </c>
      <c r="H152" s="328" t="s">
        <v>1307</v>
      </c>
      <c r="J152" s="263"/>
    </row>
    <row r="153" spans="1:10" s="255" customFormat="1">
      <c r="A153" s="326">
        <f t="shared" si="2"/>
        <v>144</v>
      </c>
      <c r="B153" s="327">
        <v>45016</v>
      </c>
      <c r="C153" s="328" t="s">
        <v>907</v>
      </c>
      <c r="D153" s="329" t="s">
        <v>8</v>
      </c>
      <c r="E153" s="328" t="s">
        <v>1136</v>
      </c>
      <c r="F153" s="330" t="s">
        <v>795</v>
      </c>
      <c r="G153" s="118">
        <v>374.85</v>
      </c>
      <c r="H153" s="328" t="s">
        <v>1307</v>
      </c>
      <c r="J153" s="263"/>
    </row>
    <row r="154" spans="1:10" s="255" customFormat="1">
      <c r="A154" s="326">
        <f t="shared" si="2"/>
        <v>145</v>
      </c>
      <c r="B154" s="327">
        <v>45016</v>
      </c>
      <c r="C154" s="328" t="s">
        <v>948</v>
      </c>
      <c r="D154" s="329" t="s">
        <v>8</v>
      </c>
      <c r="E154" s="328" t="s">
        <v>1137</v>
      </c>
      <c r="F154" s="328" t="s">
        <v>795</v>
      </c>
      <c r="G154" s="116">
        <v>145.81</v>
      </c>
      <c r="H154" s="328" t="s">
        <v>1307</v>
      </c>
      <c r="J154" s="263"/>
    </row>
    <row r="155" spans="1:10" s="255" customFormat="1">
      <c r="A155" s="326">
        <f t="shared" si="2"/>
        <v>146</v>
      </c>
      <c r="B155" s="327">
        <v>45016</v>
      </c>
      <c r="C155" s="328" t="s">
        <v>907</v>
      </c>
      <c r="D155" s="329" t="s">
        <v>8</v>
      </c>
      <c r="E155" s="328" t="s">
        <v>1138</v>
      </c>
      <c r="F155" s="330" t="s">
        <v>795</v>
      </c>
      <c r="G155" s="116">
        <v>43.8</v>
      </c>
      <c r="H155" s="328" t="s">
        <v>1307</v>
      </c>
      <c r="J155" s="263"/>
    </row>
    <row r="156" spans="1:10" s="255" customFormat="1">
      <c r="A156" s="326">
        <f t="shared" si="2"/>
        <v>147</v>
      </c>
      <c r="B156" s="327">
        <v>45016</v>
      </c>
      <c r="C156" s="328" t="s">
        <v>948</v>
      </c>
      <c r="D156" s="328" t="s">
        <v>8</v>
      </c>
      <c r="E156" s="328" t="s">
        <v>955</v>
      </c>
      <c r="F156" s="330" t="s">
        <v>609</v>
      </c>
      <c r="G156" s="118">
        <v>2736.18</v>
      </c>
      <c r="H156" s="328" t="s">
        <v>1307</v>
      </c>
      <c r="J156" s="263"/>
    </row>
    <row r="157" spans="1:10" s="255" customFormat="1">
      <c r="A157" s="326">
        <f t="shared" si="2"/>
        <v>148</v>
      </c>
      <c r="B157" s="327">
        <v>45016</v>
      </c>
      <c r="C157" s="328" t="s">
        <v>948</v>
      </c>
      <c r="D157" s="329" t="s">
        <v>8</v>
      </c>
      <c r="E157" s="328" t="s">
        <v>956</v>
      </c>
      <c r="F157" s="328" t="s">
        <v>609</v>
      </c>
      <c r="G157" s="116">
        <v>141.19</v>
      </c>
      <c r="H157" s="328" t="s">
        <v>1307</v>
      </c>
      <c r="J157" s="263"/>
    </row>
    <row r="158" spans="1:10" s="255" customFormat="1">
      <c r="A158" s="326">
        <f t="shared" si="2"/>
        <v>149</v>
      </c>
      <c r="B158" s="327">
        <v>45016</v>
      </c>
      <c r="C158" s="328" t="s">
        <v>948</v>
      </c>
      <c r="D158" s="328" t="s">
        <v>8</v>
      </c>
      <c r="E158" s="255" t="s">
        <v>990</v>
      </c>
      <c r="F158" s="328" t="s">
        <v>570</v>
      </c>
      <c r="G158" s="118">
        <v>949</v>
      </c>
      <c r="H158" s="328" t="s">
        <v>1307</v>
      </c>
      <c r="J158" s="263"/>
    </row>
    <row r="159" spans="1:10" s="255" customFormat="1">
      <c r="A159" s="326">
        <f t="shared" si="2"/>
        <v>150</v>
      </c>
      <c r="B159" s="327">
        <v>45016</v>
      </c>
      <c r="C159" s="328" t="s">
        <v>907</v>
      </c>
      <c r="D159" s="329" t="s">
        <v>8</v>
      </c>
      <c r="E159" s="328" t="s">
        <v>991</v>
      </c>
      <c r="F159" s="330" t="s">
        <v>795</v>
      </c>
      <c r="G159" s="118">
        <v>66.67</v>
      </c>
      <c r="H159" s="328" t="s">
        <v>1307</v>
      </c>
      <c r="J159" s="263"/>
    </row>
    <row r="160" spans="1:10" s="255" customFormat="1">
      <c r="A160" s="326">
        <f t="shared" si="2"/>
        <v>151</v>
      </c>
      <c r="B160" s="327">
        <v>45016</v>
      </c>
      <c r="C160" s="328" t="s">
        <v>948</v>
      </c>
      <c r="D160" s="329" t="s">
        <v>8</v>
      </c>
      <c r="E160" s="328" t="s">
        <v>1168</v>
      </c>
      <c r="F160" s="330" t="s">
        <v>795</v>
      </c>
      <c r="G160" s="116">
        <v>75</v>
      </c>
      <c r="H160" s="328" t="s">
        <v>1307</v>
      </c>
      <c r="J160" s="263"/>
    </row>
    <row r="161" spans="1:10" s="255" customFormat="1">
      <c r="A161" s="326">
        <f t="shared" si="2"/>
        <v>152</v>
      </c>
      <c r="B161" s="327">
        <v>45016</v>
      </c>
      <c r="C161" s="328" t="s">
        <v>948</v>
      </c>
      <c r="D161" s="329" t="s">
        <v>8</v>
      </c>
      <c r="E161" s="255" t="s">
        <v>1168</v>
      </c>
      <c r="F161" s="328" t="s">
        <v>795</v>
      </c>
      <c r="G161" s="118">
        <v>76.5</v>
      </c>
      <c r="H161" s="328" t="s">
        <v>1307</v>
      </c>
      <c r="J161" s="263"/>
    </row>
    <row r="162" spans="1:10" s="255" customFormat="1">
      <c r="A162" s="326">
        <f t="shared" si="2"/>
        <v>153</v>
      </c>
      <c r="B162" s="327">
        <v>45016</v>
      </c>
      <c r="C162" s="328" t="s">
        <v>948</v>
      </c>
      <c r="D162" s="328" t="s">
        <v>8</v>
      </c>
      <c r="E162" s="328" t="s">
        <v>1311</v>
      </c>
      <c r="F162" s="328" t="s">
        <v>609</v>
      </c>
      <c r="G162" s="118">
        <v>3537.38</v>
      </c>
      <c r="H162" s="328" t="s">
        <v>1307</v>
      </c>
      <c r="J162" s="263"/>
    </row>
    <row r="163" spans="1:10" s="255" customFormat="1">
      <c r="A163" s="326">
        <f t="shared" si="2"/>
        <v>154</v>
      </c>
      <c r="B163" s="327">
        <v>45016</v>
      </c>
      <c r="C163" s="328" t="s">
        <v>948</v>
      </c>
      <c r="D163" s="329" t="s">
        <v>8</v>
      </c>
      <c r="E163" s="255" t="s">
        <v>1026</v>
      </c>
      <c r="F163" s="328" t="s">
        <v>794</v>
      </c>
      <c r="G163" s="118">
        <v>747.76</v>
      </c>
      <c r="H163" s="328" t="s">
        <v>1307</v>
      </c>
      <c r="J163" s="263"/>
    </row>
    <row r="164" spans="1:10" s="255" customFormat="1">
      <c r="A164" s="326">
        <f t="shared" si="2"/>
        <v>155</v>
      </c>
      <c r="B164" s="327">
        <v>45016</v>
      </c>
      <c r="C164" s="328" t="s">
        <v>948</v>
      </c>
      <c r="D164" s="328" t="s">
        <v>8</v>
      </c>
      <c r="E164" s="328" t="s">
        <v>1133</v>
      </c>
      <c r="F164" s="330" t="s">
        <v>795</v>
      </c>
      <c r="G164" s="118">
        <v>1033</v>
      </c>
      <c r="H164" s="328" t="s">
        <v>1307</v>
      </c>
      <c r="J164" s="263"/>
    </row>
    <row r="165" spans="1:10" s="255" customFormat="1">
      <c r="A165" s="326">
        <f t="shared" si="2"/>
        <v>156</v>
      </c>
      <c r="B165" s="327">
        <v>45016</v>
      </c>
      <c r="C165" s="328" t="s">
        <v>948</v>
      </c>
      <c r="D165" s="329" t="s">
        <v>8</v>
      </c>
      <c r="E165" s="328" t="s">
        <v>1169</v>
      </c>
      <c r="F165" s="330" t="s">
        <v>609</v>
      </c>
      <c r="G165" s="118">
        <v>440</v>
      </c>
      <c r="H165" s="328" t="s">
        <v>1307</v>
      </c>
      <c r="J165" s="263"/>
    </row>
    <row r="166" spans="1:10" s="255" customFormat="1">
      <c r="A166" s="326">
        <f t="shared" si="2"/>
        <v>157</v>
      </c>
      <c r="B166" s="327">
        <v>45016</v>
      </c>
      <c r="C166" s="328" t="s">
        <v>948</v>
      </c>
      <c r="D166" s="329" t="s">
        <v>8</v>
      </c>
      <c r="E166" s="255" t="s">
        <v>1020</v>
      </c>
      <c r="F166" s="328" t="s">
        <v>794</v>
      </c>
      <c r="G166" s="118">
        <v>416.3</v>
      </c>
      <c r="H166" s="328" t="s">
        <v>1307</v>
      </c>
      <c r="J166" s="263"/>
    </row>
    <row r="167" spans="1:10" s="255" customFormat="1">
      <c r="A167" s="326">
        <f t="shared" si="2"/>
        <v>158</v>
      </c>
      <c r="B167" s="327">
        <v>45046</v>
      </c>
      <c r="C167" s="328" t="s">
        <v>907</v>
      </c>
      <c r="D167" s="329" t="s">
        <v>683</v>
      </c>
      <c r="E167" s="328" t="s">
        <v>1022</v>
      </c>
      <c r="F167" s="330" t="s">
        <v>795</v>
      </c>
      <c r="G167" s="116">
        <v>50</v>
      </c>
      <c r="H167" s="328" t="s">
        <v>1307</v>
      </c>
      <c r="J167" s="263"/>
    </row>
    <row r="168" spans="1:10" s="255" customFormat="1">
      <c r="A168" s="326">
        <f t="shared" si="2"/>
        <v>159</v>
      </c>
      <c r="B168" s="327">
        <v>45046</v>
      </c>
      <c r="C168" s="328" t="s">
        <v>907</v>
      </c>
      <c r="D168" s="329" t="s">
        <v>683</v>
      </c>
      <c r="E168" s="328" t="s">
        <v>1022</v>
      </c>
      <c r="F168" s="330" t="s">
        <v>795</v>
      </c>
      <c r="G168" s="116">
        <v>100</v>
      </c>
      <c r="H168" s="328" t="s">
        <v>1307</v>
      </c>
      <c r="J168" s="263"/>
    </row>
    <row r="169" spans="1:10" s="255" customFormat="1">
      <c r="A169" s="326">
        <f t="shared" si="2"/>
        <v>160</v>
      </c>
      <c r="B169" s="327">
        <v>45046</v>
      </c>
      <c r="C169" s="328" t="s">
        <v>948</v>
      </c>
      <c r="D169" s="329" t="s">
        <v>683</v>
      </c>
      <c r="E169" s="328" t="s">
        <v>1139</v>
      </c>
      <c r="F169" s="330" t="s">
        <v>795</v>
      </c>
      <c r="G169" s="116">
        <v>42.92</v>
      </c>
      <c r="H169" s="328" t="s">
        <v>1307</v>
      </c>
      <c r="J169" s="263"/>
    </row>
    <row r="170" spans="1:10" s="255" customFormat="1">
      <c r="A170" s="326">
        <f t="shared" si="2"/>
        <v>161</v>
      </c>
      <c r="B170" s="327">
        <v>45046</v>
      </c>
      <c r="C170" s="328" t="s">
        <v>907</v>
      </c>
      <c r="D170" s="329" t="s">
        <v>683</v>
      </c>
      <c r="E170" s="255" t="s">
        <v>1313</v>
      </c>
      <c r="F170" s="330" t="s">
        <v>795</v>
      </c>
      <c r="G170" s="118">
        <v>583.33000000000004</v>
      </c>
      <c r="H170" s="328" t="s">
        <v>1307</v>
      </c>
      <c r="J170" s="263"/>
    </row>
    <row r="171" spans="1:10" s="255" customFormat="1">
      <c r="A171" s="326">
        <f t="shared" si="2"/>
        <v>162</v>
      </c>
      <c r="B171" s="327">
        <v>45046</v>
      </c>
      <c r="C171" s="328" t="s">
        <v>907</v>
      </c>
      <c r="D171" s="329" t="s">
        <v>683</v>
      </c>
      <c r="E171" s="328" t="s">
        <v>897</v>
      </c>
      <c r="F171" s="330" t="s">
        <v>795</v>
      </c>
      <c r="G171" s="118">
        <v>62.5</v>
      </c>
      <c r="H171" s="328" t="s">
        <v>1307</v>
      </c>
      <c r="J171" s="263"/>
    </row>
    <row r="172" spans="1:10" s="255" customFormat="1">
      <c r="A172" s="326">
        <f t="shared" si="2"/>
        <v>163</v>
      </c>
      <c r="B172" s="327">
        <v>45046</v>
      </c>
      <c r="C172" s="328" t="s">
        <v>948</v>
      </c>
      <c r="D172" s="328" t="s">
        <v>683</v>
      </c>
      <c r="E172" s="328" t="s">
        <v>1312</v>
      </c>
      <c r="F172" s="330" t="s">
        <v>609</v>
      </c>
      <c r="G172" s="118">
        <v>1000</v>
      </c>
      <c r="H172" s="328" t="s">
        <v>1307</v>
      </c>
      <c r="J172" s="263"/>
    </row>
    <row r="173" spans="1:10" s="255" customFormat="1">
      <c r="A173" s="326">
        <f t="shared" si="2"/>
        <v>164</v>
      </c>
      <c r="B173" s="327">
        <v>45046</v>
      </c>
      <c r="C173" s="328" t="s">
        <v>948</v>
      </c>
      <c r="D173" s="328" t="s">
        <v>683</v>
      </c>
      <c r="E173" s="328" t="s">
        <v>1132</v>
      </c>
      <c r="F173" s="330" t="s">
        <v>795</v>
      </c>
      <c r="G173" s="118">
        <v>493</v>
      </c>
      <c r="H173" s="328" t="s">
        <v>1307</v>
      </c>
      <c r="J173" s="263"/>
    </row>
    <row r="174" spans="1:10" s="255" customFormat="1">
      <c r="A174" s="326">
        <f t="shared" si="2"/>
        <v>165</v>
      </c>
      <c r="B174" s="327">
        <v>45046</v>
      </c>
      <c r="C174" s="328" t="s">
        <v>948</v>
      </c>
      <c r="D174" s="328" t="s">
        <v>683</v>
      </c>
      <c r="E174" s="328" t="s">
        <v>987</v>
      </c>
      <c r="F174" s="328" t="s">
        <v>570</v>
      </c>
      <c r="G174" s="116">
        <v>1002</v>
      </c>
      <c r="H174" s="328" t="s">
        <v>1307</v>
      </c>
      <c r="J174" s="263"/>
    </row>
    <row r="175" spans="1:10" s="255" customFormat="1">
      <c r="A175" s="326">
        <f t="shared" si="2"/>
        <v>166</v>
      </c>
      <c r="B175" s="327">
        <v>45046</v>
      </c>
      <c r="C175" s="328" t="s">
        <v>948</v>
      </c>
      <c r="D175" s="329" t="s">
        <v>683</v>
      </c>
      <c r="E175" s="328" t="s">
        <v>1130</v>
      </c>
      <c r="F175" s="330" t="s">
        <v>795</v>
      </c>
      <c r="G175" s="118">
        <v>45.53</v>
      </c>
      <c r="H175" s="328" t="s">
        <v>1307</v>
      </c>
    </row>
    <row r="176" spans="1:10" s="255" customFormat="1">
      <c r="A176" s="326">
        <f t="shared" si="2"/>
        <v>167</v>
      </c>
      <c r="B176" s="327">
        <v>45046</v>
      </c>
      <c r="C176" s="328" t="s">
        <v>907</v>
      </c>
      <c r="D176" s="329" t="s">
        <v>683</v>
      </c>
      <c r="E176" s="328" t="s">
        <v>1015</v>
      </c>
      <c r="F176" s="330" t="s">
        <v>795</v>
      </c>
      <c r="G176" s="116">
        <v>75</v>
      </c>
      <c r="H176" s="328" t="s">
        <v>1307</v>
      </c>
    </row>
    <row r="177" spans="1:8" s="255" customFormat="1">
      <c r="A177" s="326">
        <f t="shared" si="2"/>
        <v>168</v>
      </c>
      <c r="B177" s="327">
        <v>45046</v>
      </c>
      <c r="C177" s="328" t="s">
        <v>948</v>
      </c>
      <c r="D177" s="329" t="s">
        <v>683</v>
      </c>
      <c r="E177" s="328" t="s">
        <v>870</v>
      </c>
      <c r="F177" s="330" t="s">
        <v>795</v>
      </c>
      <c r="G177" s="118">
        <v>41.67</v>
      </c>
      <c r="H177" s="328" t="s">
        <v>1307</v>
      </c>
    </row>
    <row r="178" spans="1:8" s="255" customFormat="1">
      <c r="A178" s="326">
        <f t="shared" si="2"/>
        <v>169</v>
      </c>
      <c r="B178" s="327">
        <v>45046</v>
      </c>
      <c r="C178" s="328" t="s">
        <v>948</v>
      </c>
      <c r="D178" s="329" t="s">
        <v>683</v>
      </c>
      <c r="E178" s="255" t="s">
        <v>852</v>
      </c>
      <c r="F178" s="328" t="s">
        <v>570</v>
      </c>
      <c r="G178" s="118">
        <v>41.67</v>
      </c>
      <c r="H178" s="328" t="s">
        <v>1307</v>
      </c>
    </row>
    <row r="179" spans="1:8" s="255" customFormat="1">
      <c r="A179" s="326">
        <f t="shared" si="2"/>
        <v>170</v>
      </c>
      <c r="B179" s="327">
        <v>45046</v>
      </c>
      <c r="C179" s="328" t="s">
        <v>948</v>
      </c>
      <c r="D179" s="329" t="s">
        <v>683</v>
      </c>
      <c r="E179" s="255" t="s">
        <v>949</v>
      </c>
      <c r="F179" s="330" t="s">
        <v>609</v>
      </c>
      <c r="G179" s="118">
        <v>179.17</v>
      </c>
      <c r="H179" s="328" t="s">
        <v>1307</v>
      </c>
    </row>
    <row r="180" spans="1:8" s="255" customFormat="1">
      <c r="A180" s="326">
        <f t="shared" si="2"/>
        <v>171</v>
      </c>
      <c r="B180" s="327">
        <v>45046</v>
      </c>
      <c r="C180" s="328" t="s">
        <v>948</v>
      </c>
      <c r="D180" s="329" t="s">
        <v>683</v>
      </c>
      <c r="E180" s="255" t="s">
        <v>909</v>
      </c>
      <c r="F180" s="330" t="s">
        <v>570</v>
      </c>
      <c r="G180" s="118">
        <v>52.78</v>
      </c>
      <c r="H180" s="328" t="s">
        <v>1307</v>
      </c>
    </row>
    <row r="181" spans="1:8" s="255" customFormat="1">
      <c r="A181" s="326">
        <f t="shared" si="2"/>
        <v>172</v>
      </c>
      <c r="B181" s="327">
        <v>45046</v>
      </c>
      <c r="C181" s="328" t="s">
        <v>948</v>
      </c>
      <c r="D181" s="329" t="s">
        <v>683</v>
      </c>
      <c r="E181" s="328" t="s">
        <v>1025</v>
      </c>
      <c r="F181" s="328" t="s">
        <v>609</v>
      </c>
      <c r="G181" s="118">
        <v>41.67</v>
      </c>
      <c r="H181" s="328" t="s">
        <v>1307</v>
      </c>
    </row>
    <row r="182" spans="1:8" s="255" customFormat="1">
      <c r="A182" s="326">
        <f t="shared" si="2"/>
        <v>173</v>
      </c>
      <c r="B182" s="327">
        <v>45046</v>
      </c>
      <c r="C182" s="328" t="s">
        <v>948</v>
      </c>
      <c r="D182" s="329" t="s">
        <v>683</v>
      </c>
      <c r="E182" s="255" t="s">
        <v>1023</v>
      </c>
      <c r="F182" s="328" t="s">
        <v>570</v>
      </c>
      <c r="G182" s="118">
        <v>44.220000000000006</v>
      </c>
      <c r="H182" s="328" t="s">
        <v>1307</v>
      </c>
    </row>
    <row r="183" spans="1:8" s="255" customFormat="1">
      <c r="A183" s="326">
        <f t="shared" si="2"/>
        <v>174</v>
      </c>
      <c r="B183" s="327">
        <v>45046</v>
      </c>
      <c r="C183" s="328" t="s">
        <v>948</v>
      </c>
      <c r="D183" s="329" t="s">
        <v>683</v>
      </c>
      <c r="E183" s="328" t="s">
        <v>1023</v>
      </c>
      <c r="F183" s="328" t="s">
        <v>795</v>
      </c>
      <c r="G183" s="116">
        <v>45.53</v>
      </c>
      <c r="H183" s="328" t="s">
        <v>1307</v>
      </c>
    </row>
    <row r="184" spans="1:8" s="255" customFormat="1">
      <c r="A184" s="326">
        <f t="shared" si="2"/>
        <v>175</v>
      </c>
      <c r="B184" s="327">
        <v>45046</v>
      </c>
      <c r="C184" s="328" t="s">
        <v>948</v>
      </c>
      <c r="D184" s="329" t="s">
        <v>683</v>
      </c>
      <c r="E184" s="255" t="s">
        <v>950</v>
      </c>
      <c r="F184" s="328" t="s">
        <v>570</v>
      </c>
      <c r="G184" s="118">
        <v>166.67</v>
      </c>
      <c r="H184" s="328" t="s">
        <v>1307</v>
      </c>
    </row>
    <row r="185" spans="1:8" s="255" customFormat="1">
      <c r="A185" s="326">
        <f t="shared" si="2"/>
        <v>176</v>
      </c>
      <c r="B185" s="327">
        <v>45046</v>
      </c>
      <c r="C185" s="328" t="s">
        <v>948</v>
      </c>
      <c r="D185" s="329" t="s">
        <v>683</v>
      </c>
      <c r="E185" s="328" t="s">
        <v>950</v>
      </c>
      <c r="F185" s="330" t="s">
        <v>609</v>
      </c>
      <c r="G185" s="116">
        <v>150</v>
      </c>
      <c r="H185" s="328" t="s">
        <v>1307</v>
      </c>
    </row>
    <row r="186" spans="1:8" s="255" customFormat="1">
      <c r="A186" s="326">
        <f t="shared" si="2"/>
        <v>177</v>
      </c>
      <c r="B186" s="327">
        <v>45046</v>
      </c>
      <c r="C186" s="328" t="s">
        <v>948</v>
      </c>
      <c r="D186" s="329" t="s">
        <v>683</v>
      </c>
      <c r="E186" s="328" t="s">
        <v>950</v>
      </c>
      <c r="F186" s="330" t="s">
        <v>609</v>
      </c>
      <c r="G186" s="118">
        <v>154.79</v>
      </c>
      <c r="H186" s="328" t="s">
        <v>1307</v>
      </c>
    </row>
    <row r="187" spans="1:8" s="255" customFormat="1">
      <c r="A187" s="326">
        <f t="shared" si="2"/>
        <v>178</v>
      </c>
      <c r="B187" s="327">
        <v>45046</v>
      </c>
      <c r="C187" s="328" t="s">
        <v>948</v>
      </c>
      <c r="D187" s="329" t="s">
        <v>683</v>
      </c>
      <c r="E187" s="255" t="s">
        <v>950</v>
      </c>
      <c r="F187" s="330" t="s">
        <v>609</v>
      </c>
      <c r="G187" s="118">
        <v>267.57</v>
      </c>
      <c r="H187" s="328" t="s">
        <v>1307</v>
      </c>
    </row>
    <row r="188" spans="1:8" s="255" customFormat="1">
      <c r="A188" s="326">
        <f t="shared" si="2"/>
        <v>179</v>
      </c>
      <c r="B188" s="327">
        <v>45046</v>
      </c>
      <c r="C188" s="328" t="s">
        <v>948</v>
      </c>
      <c r="D188" s="329" t="s">
        <v>683</v>
      </c>
      <c r="E188" s="328" t="s">
        <v>951</v>
      </c>
      <c r="F188" s="328" t="s">
        <v>570</v>
      </c>
      <c r="G188" s="116">
        <v>1990.11</v>
      </c>
      <c r="H188" s="328" t="s">
        <v>1307</v>
      </c>
    </row>
    <row r="189" spans="1:8" s="255" customFormat="1">
      <c r="A189" s="326">
        <f t="shared" si="2"/>
        <v>180</v>
      </c>
      <c r="B189" s="327">
        <v>45046</v>
      </c>
      <c r="C189" s="328" t="s">
        <v>948</v>
      </c>
      <c r="D189" s="329" t="s">
        <v>683</v>
      </c>
      <c r="E189" s="328" t="s">
        <v>952</v>
      </c>
      <c r="F189" s="328" t="s">
        <v>794</v>
      </c>
      <c r="G189" s="116">
        <v>953.64</v>
      </c>
      <c r="H189" s="328" t="s">
        <v>1307</v>
      </c>
    </row>
    <row r="190" spans="1:8" s="255" customFormat="1">
      <c r="A190" s="326">
        <f t="shared" si="2"/>
        <v>181</v>
      </c>
      <c r="B190" s="327">
        <v>45046</v>
      </c>
      <c r="C190" s="328" t="s">
        <v>948</v>
      </c>
      <c r="D190" s="328" t="s">
        <v>683</v>
      </c>
      <c r="E190" s="328" t="s">
        <v>1129</v>
      </c>
      <c r="F190" s="328" t="s">
        <v>609</v>
      </c>
      <c r="G190" s="116">
        <v>939</v>
      </c>
      <c r="H190" s="328" t="s">
        <v>1307</v>
      </c>
    </row>
    <row r="191" spans="1:8" s="255" customFormat="1">
      <c r="A191" s="326">
        <f t="shared" si="2"/>
        <v>182</v>
      </c>
      <c r="B191" s="327">
        <v>45046</v>
      </c>
      <c r="C191" s="328" t="s">
        <v>948</v>
      </c>
      <c r="D191" s="328" t="s">
        <v>683</v>
      </c>
      <c r="E191" s="328" t="s">
        <v>945</v>
      </c>
      <c r="F191" s="330" t="s">
        <v>795</v>
      </c>
      <c r="G191" s="116">
        <v>877</v>
      </c>
      <c r="H191" s="328" t="s">
        <v>1307</v>
      </c>
    </row>
    <row r="192" spans="1:8" s="255" customFormat="1">
      <c r="A192" s="326">
        <f t="shared" si="2"/>
        <v>183</v>
      </c>
      <c r="B192" s="327">
        <v>45046</v>
      </c>
      <c r="C192" s="328" t="s">
        <v>948</v>
      </c>
      <c r="D192" s="329" t="s">
        <v>683</v>
      </c>
      <c r="E192" s="328" t="s">
        <v>1125</v>
      </c>
      <c r="F192" s="330" t="s">
        <v>570</v>
      </c>
      <c r="G192" s="118">
        <v>68.62</v>
      </c>
      <c r="H192" s="328" t="s">
        <v>1307</v>
      </c>
    </row>
    <row r="193" spans="1:8" s="255" customFormat="1">
      <c r="A193" s="326">
        <f t="shared" si="2"/>
        <v>184</v>
      </c>
      <c r="B193" s="327">
        <v>45046</v>
      </c>
      <c r="C193" s="328" t="s">
        <v>948</v>
      </c>
      <c r="D193" s="328" t="s">
        <v>683</v>
      </c>
      <c r="E193" s="328" t="s">
        <v>1310</v>
      </c>
      <c r="F193" s="330" t="s">
        <v>609</v>
      </c>
      <c r="G193" s="116">
        <v>2100</v>
      </c>
      <c r="H193" s="328" t="s">
        <v>1307</v>
      </c>
    </row>
    <row r="194" spans="1:8" s="255" customFormat="1">
      <c r="A194" s="326">
        <f t="shared" si="2"/>
        <v>185</v>
      </c>
      <c r="B194" s="327">
        <v>45046</v>
      </c>
      <c r="C194" s="328" t="s">
        <v>948</v>
      </c>
      <c r="D194" s="329" t="s">
        <v>683</v>
      </c>
      <c r="E194" s="328" t="s">
        <v>989</v>
      </c>
      <c r="F194" s="328" t="s">
        <v>609</v>
      </c>
      <c r="G194" s="116">
        <v>585.25</v>
      </c>
      <c r="H194" s="328" t="s">
        <v>1307</v>
      </c>
    </row>
    <row r="195" spans="1:8" s="255" customFormat="1">
      <c r="A195" s="326">
        <f t="shared" si="2"/>
        <v>186</v>
      </c>
      <c r="B195" s="327">
        <v>45046</v>
      </c>
      <c r="C195" s="328" t="s">
        <v>948</v>
      </c>
      <c r="D195" s="329" t="s">
        <v>683</v>
      </c>
      <c r="E195" s="328" t="s">
        <v>850</v>
      </c>
      <c r="F195" s="330" t="s">
        <v>609</v>
      </c>
      <c r="G195" s="118">
        <v>809.22</v>
      </c>
      <c r="H195" s="328" t="s">
        <v>1307</v>
      </c>
    </row>
    <row r="196" spans="1:8" s="255" customFormat="1">
      <c r="A196" s="326">
        <f t="shared" si="2"/>
        <v>187</v>
      </c>
      <c r="B196" s="327">
        <v>45046</v>
      </c>
      <c r="C196" s="328" t="s">
        <v>948</v>
      </c>
      <c r="D196" s="329" t="s">
        <v>683</v>
      </c>
      <c r="E196" s="328" t="s">
        <v>1172</v>
      </c>
      <c r="F196" s="328" t="s">
        <v>794</v>
      </c>
      <c r="G196" s="116">
        <v>83.33</v>
      </c>
      <c r="H196" s="328" t="s">
        <v>1307</v>
      </c>
    </row>
    <row r="197" spans="1:8" s="255" customFormat="1">
      <c r="A197" s="326">
        <f t="shared" si="2"/>
        <v>188</v>
      </c>
      <c r="B197" s="327">
        <v>45046</v>
      </c>
      <c r="C197" s="328" t="s">
        <v>948</v>
      </c>
      <c r="D197" s="329" t="s">
        <v>683</v>
      </c>
      <c r="E197" s="328" t="s">
        <v>1126</v>
      </c>
      <c r="F197" s="328" t="s">
        <v>795</v>
      </c>
      <c r="G197" s="118">
        <v>226.07</v>
      </c>
      <c r="H197" s="328" t="s">
        <v>1307</v>
      </c>
    </row>
    <row r="198" spans="1:8" s="255" customFormat="1">
      <c r="A198" s="326">
        <f t="shared" si="2"/>
        <v>189</v>
      </c>
      <c r="B198" s="327">
        <v>45046</v>
      </c>
      <c r="C198" s="328" t="s">
        <v>948</v>
      </c>
      <c r="D198" s="329" t="s">
        <v>683</v>
      </c>
      <c r="E198" s="328" t="s">
        <v>1024</v>
      </c>
      <c r="F198" s="330" t="s">
        <v>609</v>
      </c>
      <c r="G198" s="118">
        <v>45.53</v>
      </c>
      <c r="H198" s="328" t="s">
        <v>1307</v>
      </c>
    </row>
    <row r="199" spans="1:8" s="255" customFormat="1">
      <c r="A199" s="326">
        <f t="shared" si="2"/>
        <v>190</v>
      </c>
      <c r="B199" s="327">
        <v>45046</v>
      </c>
      <c r="C199" s="328" t="s">
        <v>907</v>
      </c>
      <c r="D199" s="329" t="s">
        <v>683</v>
      </c>
      <c r="E199" s="328" t="s">
        <v>1127</v>
      </c>
      <c r="F199" s="330" t="s">
        <v>795</v>
      </c>
      <c r="G199" s="118">
        <v>58.33</v>
      </c>
      <c r="H199" s="328" t="s">
        <v>1307</v>
      </c>
    </row>
    <row r="200" spans="1:8" s="255" customFormat="1">
      <c r="A200" s="326">
        <f t="shared" si="2"/>
        <v>191</v>
      </c>
      <c r="B200" s="327">
        <v>45046</v>
      </c>
      <c r="C200" s="328" t="s">
        <v>948</v>
      </c>
      <c r="D200" s="329" t="s">
        <v>683</v>
      </c>
      <c r="E200" s="328" t="s">
        <v>1018</v>
      </c>
      <c r="F200" s="330" t="s">
        <v>609</v>
      </c>
      <c r="G200" s="118">
        <v>41.67</v>
      </c>
      <c r="H200" s="328" t="s">
        <v>1307</v>
      </c>
    </row>
    <row r="201" spans="1:8" s="255" customFormat="1">
      <c r="A201" s="326">
        <f t="shared" si="2"/>
        <v>192</v>
      </c>
      <c r="B201" s="327">
        <v>45046</v>
      </c>
      <c r="C201" s="328" t="s">
        <v>948</v>
      </c>
      <c r="D201" s="329" t="s">
        <v>683</v>
      </c>
      <c r="E201" s="255" t="s">
        <v>954</v>
      </c>
      <c r="F201" s="328" t="s">
        <v>795</v>
      </c>
      <c r="G201" s="118">
        <v>41.67</v>
      </c>
      <c r="H201" s="328" t="s">
        <v>1307</v>
      </c>
    </row>
    <row r="202" spans="1:8" s="255" customFormat="1">
      <c r="A202" s="326">
        <f t="shared" si="2"/>
        <v>193</v>
      </c>
      <c r="B202" s="327">
        <v>45046</v>
      </c>
      <c r="C202" s="328" t="s">
        <v>948</v>
      </c>
      <c r="D202" s="329" t="s">
        <v>683</v>
      </c>
      <c r="E202" s="328" t="s">
        <v>954</v>
      </c>
      <c r="F202" s="328" t="s">
        <v>795</v>
      </c>
      <c r="G202" s="116">
        <v>66.67</v>
      </c>
      <c r="H202" s="328" t="s">
        <v>1307</v>
      </c>
    </row>
    <row r="203" spans="1:8" s="255" customFormat="1">
      <c r="A203" s="326">
        <f t="shared" si="2"/>
        <v>194</v>
      </c>
      <c r="B203" s="327">
        <v>45046</v>
      </c>
      <c r="C203" s="328" t="s">
        <v>948</v>
      </c>
      <c r="D203" s="329" t="s">
        <v>683</v>
      </c>
      <c r="E203" s="328" t="s">
        <v>851</v>
      </c>
      <c r="F203" s="330" t="s">
        <v>795</v>
      </c>
      <c r="G203" s="118">
        <v>228.47</v>
      </c>
      <c r="H203" s="328" t="s">
        <v>1307</v>
      </c>
    </row>
    <row r="204" spans="1:8" s="255" customFormat="1">
      <c r="A204" s="326">
        <f t="shared" ref="A204:A267" si="3">A203+1</f>
        <v>195</v>
      </c>
      <c r="B204" s="327">
        <v>45046</v>
      </c>
      <c r="C204" s="328" t="s">
        <v>907</v>
      </c>
      <c r="D204" s="329" t="s">
        <v>683</v>
      </c>
      <c r="E204" s="328" t="s">
        <v>1136</v>
      </c>
      <c r="F204" s="330" t="s">
        <v>795</v>
      </c>
      <c r="G204" s="118">
        <v>374.85</v>
      </c>
      <c r="H204" s="328" t="s">
        <v>1307</v>
      </c>
    </row>
    <row r="205" spans="1:8" s="255" customFormat="1">
      <c r="A205" s="326">
        <f t="shared" si="3"/>
        <v>196</v>
      </c>
      <c r="B205" s="327">
        <v>45046</v>
      </c>
      <c r="C205" s="328" t="s">
        <v>948</v>
      </c>
      <c r="D205" s="329" t="s">
        <v>683</v>
      </c>
      <c r="E205" s="328" t="s">
        <v>1137</v>
      </c>
      <c r="F205" s="328" t="s">
        <v>795</v>
      </c>
      <c r="G205" s="118">
        <v>145.81</v>
      </c>
      <c r="H205" s="328" t="s">
        <v>1307</v>
      </c>
    </row>
    <row r="206" spans="1:8" s="255" customFormat="1">
      <c r="A206" s="326">
        <f t="shared" si="3"/>
        <v>197</v>
      </c>
      <c r="B206" s="327">
        <v>45046</v>
      </c>
      <c r="C206" s="328" t="s">
        <v>907</v>
      </c>
      <c r="D206" s="329" t="s">
        <v>683</v>
      </c>
      <c r="E206" s="328" t="s">
        <v>1138</v>
      </c>
      <c r="F206" s="330" t="s">
        <v>795</v>
      </c>
      <c r="G206" s="118">
        <v>43.8</v>
      </c>
      <c r="H206" s="328" t="s">
        <v>1307</v>
      </c>
    </row>
    <row r="207" spans="1:8" s="255" customFormat="1">
      <c r="A207" s="326">
        <f t="shared" si="3"/>
        <v>198</v>
      </c>
      <c r="B207" s="327">
        <v>45046</v>
      </c>
      <c r="C207" s="328" t="s">
        <v>948</v>
      </c>
      <c r="D207" s="328" t="s">
        <v>683</v>
      </c>
      <c r="E207" s="328" t="s">
        <v>955</v>
      </c>
      <c r="F207" s="330" t="s">
        <v>609</v>
      </c>
      <c r="G207" s="118">
        <v>2736.18</v>
      </c>
      <c r="H207" s="328" t="s">
        <v>1307</v>
      </c>
    </row>
    <row r="208" spans="1:8" s="255" customFormat="1">
      <c r="A208" s="326">
        <f t="shared" si="3"/>
        <v>199</v>
      </c>
      <c r="B208" s="327">
        <v>45046</v>
      </c>
      <c r="C208" s="328" t="s">
        <v>948</v>
      </c>
      <c r="D208" s="329" t="s">
        <v>683</v>
      </c>
      <c r="E208" s="255" t="s">
        <v>956</v>
      </c>
      <c r="F208" s="330" t="s">
        <v>609</v>
      </c>
      <c r="G208" s="118">
        <v>141.19</v>
      </c>
      <c r="H208" s="328" t="s">
        <v>1307</v>
      </c>
    </row>
    <row r="209" spans="1:8" s="255" customFormat="1">
      <c r="A209" s="326">
        <f t="shared" si="3"/>
        <v>200</v>
      </c>
      <c r="B209" s="327">
        <v>45046</v>
      </c>
      <c r="C209" s="328" t="s">
        <v>948</v>
      </c>
      <c r="D209" s="328" t="s">
        <v>683</v>
      </c>
      <c r="E209" s="255" t="s">
        <v>990</v>
      </c>
      <c r="F209" s="328" t="s">
        <v>570</v>
      </c>
      <c r="G209" s="118">
        <v>949</v>
      </c>
      <c r="H209" s="328" t="s">
        <v>1307</v>
      </c>
    </row>
    <row r="210" spans="1:8" s="255" customFormat="1">
      <c r="A210" s="326">
        <f t="shared" si="3"/>
        <v>201</v>
      </c>
      <c r="B210" s="327">
        <v>45046</v>
      </c>
      <c r="C210" s="328" t="s">
        <v>948</v>
      </c>
      <c r="D210" s="329" t="s">
        <v>683</v>
      </c>
      <c r="E210" s="255" t="s">
        <v>1131</v>
      </c>
      <c r="F210" s="330" t="s">
        <v>795</v>
      </c>
      <c r="G210" s="118">
        <v>200</v>
      </c>
      <c r="H210" s="328" t="s">
        <v>1308</v>
      </c>
    </row>
    <row r="211" spans="1:8" s="255" customFormat="1">
      <c r="A211" s="326">
        <f t="shared" si="3"/>
        <v>202</v>
      </c>
      <c r="B211" s="327">
        <v>45046</v>
      </c>
      <c r="C211" s="328" t="s">
        <v>907</v>
      </c>
      <c r="D211" s="329" t="s">
        <v>683</v>
      </c>
      <c r="E211" s="328" t="s">
        <v>991</v>
      </c>
      <c r="F211" s="330" t="s">
        <v>795</v>
      </c>
      <c r="G211" s="118">
        <v>66.66</v>
      </c>
      <c r="H211" s="328" t="s">
        <v>1307</v>
      </c>
    </row>
    <row r="212" spans="1:8" s="255" customFormat="1">
      <c r="A212" s="326">
        <f t="shared" si="3"/>
        <v>203</v>
      </c>
      <c r="B212" s="327">
        <v>45046</v>
      </c>
      <c r="C212" s="328" t="s">
        <v>948</v>
      </c>
      <c r="D212" s="329" t="s">
        <v>683</v>
      </c>
      <c r="E212" s="328" t="s">
        <v>1168</v>
      </c>
      <c r="F212" s="330" t="s">
        <v>795</v>
      </c>
      <c r="G212" s="116">
        <v>153</v>
      </c>
      <c r="H212" s="328" t="s">
        <v>1307</v>
      </c>
    </row>
    <row r="213" spans="1:8" s="255" customFormat="1">
      <c r="A213" s="326">
        <f t="shared" si="3"/>
        <v>204</v>
      </c>
      <c r="B213" s="327">
        <v>45046</v>
      </c>
      <c r="C213" s="328" t="s">
        <v>948</v>
      </c>
      <c r="D213" s="328" t="s">
        <v>683</v>
      </c>
      <c r="E213" s="328" t="s">
        <v>1311</v>
      </c>
      <c r="F213" s="328" t="s">
        <v>609</v>
      </c>
      <c r="G213" s="118">
        <v>3537.38</v>
      </c>
      <c r="H213" s="328" t="s">
        <v>1307</v>
      </c>
    </row>
    <row r="214" spans="1:8" s="255" customFormat="1">
      <c r="A214" s="326">
        <f t="shared" si="3"/>
        <v>205</v>
      </c>
      <c r="B214" s="327">
        <v>45046</v>
      </c>
      <c r="C214" s="328" t="s">
        <v>948</v>
      </c>
      <c r="D214" s="329" t="s">
        <v>683</v>
      </c>
      <c r="E214" s="255" t="s">
        <v>1026</v>
      </c>
      <c r="F214" s="330" t="s">
        <v>794</v>
      </c>
      <c r="G214" s="118">
        <v>747.76</v>
      </c>
      <c r="H214" s="328" t="s">
        <v>1307</v>
      </c>
    </row>
    <row r="215" spans="1:8" s="255" customFormat="1">
      <c r="A215" s="326">
        <f t="shared" si="3"/>
        <v>206</v>
      </c>
      <c r="B215" s="327">
        <v>45046</v>
      </c>
      <c r="C215" s="328" t="s">
        <v>948</v>
      </c>
      <c r="D215" s="328" t="s">
        <v>683</v>
      </c>
      <c r="E215" s="328" t="s">
        <v>1133</v>
      </c>
      <c r="F215" s="330" t="s">
        <v>795</v>
      </c>
      <c r="G215" s="118">
        <v>1033</v>
      </c>
      <c r="H215" s="328" t="s">
        <v>1307</v>
      </c>
    </row>
    <row r="216" spans="1:8" s="255" customFormat="1">
      <c r="A216" s="326">
        <f t="shared" si="3"/>
        <v>207</v>
      </c>
      <c r="B216" s="327">
        <v>45046</v>
      </c>
      <c r="C216" s="328" t="s">
        <v>948</v>
      </c>
      <c r="D216" s="329" t="s">
        <v>683</v>
      </c>
      <c r="E216" s="255" t="s">
        <v>1169</v>
      </c>
      <c r="F216" s="328" t="s">
        <v>609</v>
      </c>
      <c r="G216" s="118">
        <v>440</v>
      </c>
      <c r="H216" s="328" t="s">
        <v>1307</v>
      </c>
    </row>
    <row r="217" spans="1:8" s="255" customFormat="1">
      <c r="A217" s="326">
        <f t="shared" si="3"/>
        <v>208</v>
      </c>
      <c r="B217" s="327">
        <v>45046</v>
      </c>
      <c r="C217" s="328" t="s">
        <v>948</v>
      </c>
      <c r="D217" s="329" t="s">
        <v>683</v>
      </c>
      <c r="E217" s="328" t="s">
        <v>1020</v>
      </c>
      <c r="F217" s="330" t="s">
        <v>794</v>
      </c>
      <c r="G217" s="116">
        <v>416.31</v>
      </c>
      <c r="H217" s="328" t="s">
        <v>1307</v>
      </c>
    </row>
    <row r="218" spans="1:8" s="255" customFormat="1">
      <c r="A218" s="326">
        <f t="shared" si="3"/>
        <v>209</v>
      </c>
      <c r="B218" s="327">
        <v>45077</v>
      </c>
      <c r="C218" s="328" t="s">
        <v>907</v>
      </c>
      <c r="D218" s="329" t="s">
        <v>684</v>
      </c>
      <c r="E218" s="328" t="s">
        <v>1022</v>
      </c>
      <c r="F218" s="330" t="s">
        <v>795</v>
      </c>
      <c r="G218" s="116">
        <v>50</v>
      </c>
      <c r="H218" s="328" t="s">
        <v>1307</v>
      </c>
    </row>
    <row r="219" spans="1:8" s="255" customFormat="1">
      <c r="A219" s="326">
        <f t="shared" si="3"/>
        <v>210</v>
      </c>
      <c r="B219" s="327">
        <v>45077</v>
      </c>
      <c r="C219" s="328" t="s">
        <v>907</v>
      </c>
      <c r="D219" s="329" t="s">
        <v>684</v>
      </c>
      <c r="E219" s="328" t="s">
        <v>1022</v>
      </c>
      <c r="F219" s="330" t="s">
        <v>795</v>
      </c>
      <c r="G219" s="118">
        <v>100</v>
      </c>
      <c r="H219" s="328" t="s">
        <v>1307</v>
      </c>
    </row>
    <row r="220" spans="1:8" s="255" customFormat="1">
      <c r="A220" s="326">
        <f t="shared" si="3"/>
        <v>211</v>
      </c>
      <c r="B220" s="327">
        <v>45077</v>
      </c>
      <c r="C220" s="328" t="s">
        <v>948</v>
      </c>
      <c r="D220" s="329" t="s">
        <v>684</v>
      </c>
      <c r="E220" s="255" t="s">
        <v>1139</v>
      </c>
      <c r="F220" s="330" t="s">
        <v>795</v>
      </c>
      <c r="G220" s="118">
        <v>42.92</v>
      </c>
      <c r="H220" s="328" t="s">
        <v>1307</v>
      </c>
    </row>
    <row r="221" spans="1:8" s="255" customFormat="1">
      <c r="A221" s="326">
        <f t="shared" si="3"/>
        <v>212</v>
      </c>
      <c r="B221" s="327">
        <v>45077</v>
      </c>
      <c r="C221" s="328" t="s">
        <v>907</v>
      </c>
      <c r="D221" s="329" t="s">
        <v>684</v>
      </c>
      <c r="E221" s="328" t="s">
        <v>1313</v>
      </c>
      <c r="F221" s="330" t="s">
        <v>795</v>
      </c>
      <c r="G221" s="116">
        <v>583.33000000000004</v>
      </c>
      <c r="H221" s="328" t="s">
        <v>1307</v>
      </c>
    </row>
    <row r="222" spans="1:8" s="255" customFormat="1">
      <c r="A222" s="326">
        <f t="shared" si="3"/>
        <v>213</v>
      </c>
      <c r="B222" s="327">
        <v>45077</v>
      </c>
      <c r="C222" s="328" t="s">
        <v>907</v>
      </c>
      <c r="D222" s="329" t="s">
        <v>684</v>
      </c>
      <c r="E222" s="328" t="s">
        <v>897</v>
      </c>
      <c r="F222" s="330" t="s">
        <v>795</v>
      </c>
      <c r="G222" s="116">
        <v>62.5</v>
      </c>
      <c r="H222" s="328" t="s">
        <v>1307</v>
      </c>
    </row>
    <row r="223" spans="1:8" s="255" customFormat="1">
      <c r="A223" s="326">
        <f t="shared" si="3"/>
        <v>214</v>
      </c>
      <c r="B223" s="327">
        <v>45077</v>
      </c>
      <c r="C223" s="328" t="s">
        <v>948</v>
      </c>
      <c r="D223" s="328" t="s">
        <v>684</v>
      </c>
      <c r="E223" s="328" t="s">
        <v>1312</v>
      </c>
      <c r="F223" s="330" t="s">
        <v>609</v>
      </c>
      <c r="G223" s="118">
        <v>1000</v>
      </c>
      <c r="H223" s="328" t="s">
        <v>1307</v>
      </c>
    </row>
    <row r="224" spans="1:8" s="255" customFormat="1">
      <c r="A224" s="326">
        <f t="shared" si="3"/>
        <v>215</v>
      </c>
      <c r="B224" s="327">
        <v>45077</v>
      </c>
      <c r="C224" s="328" t="s">
        <v>948</v>
      </c>
      <c r="D224" s="329" t="s">
        <v>684</v>
      </c>
      <c r="E224" s="328" t="s">
        <v>1171</v>
      </c>
      <c r="F224" s="328" t="s">
        <v>794</v>
      </c>
      <c r="G224" s="118">
        <v>833.34999999999991</v>
      </c>
      <c r="H224" s="328" t="s">
        <v>1307</v>
      </c>
    </row>
    <row r="225" spans="1:8" s="255" customFormat="1">
      <c r="A225" s="326">
        <f t="shared" si="3"/>
        <v>216</v>
      </c>
      <c r="B225" s="327">
        <v>45077</v>
      </c>
      <c r="C225" s="328" t="s">
        <v>948</v>
      </c>
      <c r="D225" s="328" t="s">
        <v>684</v>
      </c>
      <c r="E225" s="328" t="s">
        <v>1132</v>
      </c>
      <c r="F225" s="330" t="s">
        <v>795</v>
      </c>
      <c r="G225" s="118">
        <v>493</v>
      </c>
      <c r="H225" s="328" t="s">
        <v>1307</v>
      </c>
    </row>
    <row r="226" spans="1:8" s="255" customFormat="1">
      <c r="A226" s="326">
        <f t="shared" si="3"/>
        <v>217</v>
      </c>
      <c r="B226" s="327">
        <v>45077</v>
      </c>
      <c r="C226" s="328" t="s">
        <v>948</v>
      </c>
      <c r="D226" s="328" t="s">
        <v>684</v>
      </c>
      <c r="E226" s="328" t="s">
        <v>987</v>
      </c>
      <c r="F226" s="328" t="s">
        <v>570</v>
      </c>
      <c r="G226" s="116">
        <v>1002</v>
      </c>
      <c r="H226" s="328" t="s">
        <v>1307</v>
      </c>
    </row>
    <row r="227" spans="1:8" s="255" customFormat="1">
      <c r="A227" s="326">
        <f t="shared" si="3"/>
        <v>218</v>
      </c>
      <c r="B227" s="327">
        <v>45077</v>
      </c>
      <c r="C227" s="328" t="s">
        <v>948</v>
      </c>
      <c r="D227" s="329" t="s">
        <v>684</v>
      </c>
      <c r="E227" s="328" t="s">
        <v>1130</v>
      </c>
      <c r="F227" s="328" t="s">
        <v>795</v>
      </c>
      <c r="G227" s="118">
        <v>45.53</v>
      </c>
      <c r="H227" s="328" t="s">
        <v>1307</v>
      </c>
    </row>
    <row r="228" spans="1:8" s="255" customFormat="1">
      <c r="A228" s="326">
        <f t="shared" si="3"/>
        <v>219</v>
      </c>
      <c r="B228" s="327">
        <v>45077</v>
      </c>
      <c r="C228" s="328" t="s">
        <v>907</v>
      </c>
      <c r="D228" s="329" t="s">
        <v>684</v>
      </c>
      <c r="E228" s="328" t="s">
        <v>1314</v>
      </c>
      <c r="F228" s="330" t="s">
        <v>795</v>
      </c>
      <c r="G228" s="118">
        <v>62.5</v>
      </c>
      <c r="H228" s="328" t="s">
        <v>1307</v>
      </c>
    </row>
    <row r="229" spans="1:8" s="255" customFormat="1">
      <c r="A229" s="326">
        <f t="shared" si="3"/>
        <v>220</v>
      </c>
      <c r="B229" s="327">
        <v>45077</v>
      </c>
      <c r="C229" s="328" t="s">
        <v>907</v>
      </c>
      <c r="D229" s="329" t="s">
        <v>684</v>
      </c>
      <c r="E229" s="328" t="s">
        <v>1015</v>
      </c>
      <c r="F229" s="330" t="s">
        <v>795</v>
      </c>
      <c r="G229" s="118">
        <v>75</v>
      </c>
      <c r="H229" s="328" t="s">
        <v>1307</v>
      </c>
    </row>
    <row r="230" spans="1:8" s="255" customFormat="1">
      <c r="A230" s="326">
        <f t="shared" si="3"/>
        <v>221</v>
      </c>
      <c r="B230" s="327">
        <v>45077</v>
      </c>
      <c r="C230" s="328" t="s">
        <v>907</v>
      </c>
      <c r="D230" s="329" t="s">
        <v>684</v>
      </c>
      <c r="E230" s="328" t="s">
        <v>1015</v>
      </c>
      <c r="F230" s="330" t="s">
        <v>795</v>
      </c>
      <c r="G230" s="118">
        <v>300</v>
      </c>
      <c r="H230" s="328" t="s">
        <v>1308</v>
      </c>
    </row>
    <row r="231" spans="1:8" s="255" customFormat="1">
      <c r="A231" s="326">
        <f t="shared" si="3"/>
        <v>222</v>
      </c>
      <c r="B231" s="327">
        <v>45077</v>
      </c>
      <c r="C231" s="328" t="s">
        <v>948</v>
      </c>
      <c r="D231" s="329" t="s">
        <v>684</v>
      </c>
      <c r="E231" s="328" t="s">
        <v>870</v>
      </c>
      <c r="F231" s="330" t="s">
        <v>795</v>
      </c>
      <c r="G231" s="116">
        <v>41.67</v>
      </c>
      <c r="H231" s="328" t="s">
        <v>1307</v>
      </c>
    </row>
    <row r="232" spans="1:8" s="255" customFormat="1">
      <c r="A232" s="326">
        <f t="shared" si="3"/>
        <v>223</v>
      </c>
      <c r="B232" s="327">
        <v>45077</v>
      </c>
      <c r="C232" s="328" t="s">
        <v>948</v>
      </c>
      <c r="D232" s="329" t="s">
        <v>684</v>
      </c>
      <c r="E232" s="328" t="s">
        <v>852</v>
      </c>
      <c r="F232" s="330" t="s">
        <v>570</v>
      </c>
      <c r="G232" s="116">
        <v>41.67</v>
      </c>
      <c r="H232" s="328" t="s">
        <v>1307</v>
      </c>
    </row>
    <row r="233" spans="1:8" s="255" customFormat="1">
      <c r="A233" s="326">
        <f t="shared" si="3"/>
        <v>224</v>
      </c>
      <c r="B233" s="327">
        <v>45077</v>
      </c>
      <c r="C233" s="328" t="s">
        <v>948</v>
      </c>
      <c r="D233" s="329" t="s">
        <v>684</v>
      </c>
      <c r="E233" s="328" t="s">
        <v>949</v>
      </c>
      <c r="F233" s="328" t="s">
        <v>609</v>
      </c>
      <c r="G233" s="118">
        <v>179.17</v>
      </c>
      <c r="H233" s="328" t="s">
        <v>1307</v>
      </c>
    </row>
    <row r="234" spans="1:8" s="255" customFormat="1">
      <c r="A234" s="326">
        <f t="shared" si="3"/>
        <v>225</v>
      </c>
      <c r="B234" s="327">
        <v>45077</v>
      </c>
      <c r="C234" s="328" t="s">
        <v>948</v>
      </c>
      <c r="D234" s="329" t="s">
        <v>684</v>
      </c>
      <c r="E234" s="255" t="s">
        <v>909</v>
      </c>
      <c r="F234" s="328" t="s">
        <v>570</v>
      </c>
      <c r="G234" s="118">
        <v>52.78</v>
      </c>
      <c r="H234" s="328" t="s">
        <v>1307</v>
      </c>
    </row>
    <row r="235" spans="1:8" s="255" customFormat="1">
      <c r="A235" s="326">
        <f t="shared" si="3"/>
        <v>226</v>
      </c>
      <c r="B235" s="327">
        <v>45077</v>
      </c>
      <c r="C235" s="328" t="s">
        <v>948</v>
      </c>
      <c r="D235" s="329" t="s">
        <v>684</v>
      </c>
      <c r="E235" s="328" t="s">
        <v>1025</v>
      </c>
      <c r="F235" s="328" t="s">
        <v>609</v>
      </c>
      <c r="G235" s="116">
        <v>41.67</v>
      </c>
      <c r="H235" s="328" t="s">
        <v>1307</v>
      </c>
    </row>
    <row r="236" spans="1:8" s="255" customFormat="1">
      <c r="A236" s="326">
        <f t="shared" si="3"/>
        <v>227</v>
      </c>
      <c r="B236" s="327">
        <v>45077</v>
      </c>
      <c r="C236" s="328" t="s">
        <v>948</v>
      </c>
      <c r="D236" s="329" t="s">
        <v>684</v>
      </c>
      <c r="E236" s="328" t="s">
        <v>1023</v>
      </c>
      <c r="F236" s="330" t="s">
        <v>795</v>
      </c>
      <c r="G236" s="118">
        <v>45.53</v>
      </c>
      <c r="H236" s="328" t="s">
        <v>1307</v>
      </c>
    </row>
    <row r="237" spans="1:8" s="255" customFormat="1">
      <c r="A237" s="326">
        <f t="shared" si="3"/>
        <v>228</v>
      </c>
      <c r="B237" s="327">
        <v>45077</v>
      </c>
      <c r="C237" s="328" t="s">
        <v>948</v>
      </c>
      <c r="D237" s="329" t="s">
        <v>684</v>
      </c>
      <c r="E237" s="255" t="s">
        <v>1023</v>
      </c>
      <c r="F237" s="330" t="s">
        <v>570</v>
      </c>
      <c r="G237" s="118">
        <v>45.53</v>
      </c>
      <c r="H237" s="328" t="s">
        <v>1307</v>
      </c>
    </row>
    <row r="238" spans="1:8" s="255" customFormat="1">
      <c r="A238" s="326">
        <f t="shared" si="3"/>
        <v>229</v>
      </c>
      <c r="B238" s="327">
        <v>45077</v>
      </c>
      <c r="C238" s="328" t="s">
        <v>948</v>
      </c>
      <c r="D238" s="329" t="s">
        <v>684</v>
      </c>
      <c r="E238" s="328" t="s">
        <v>950</v>
      </c>
      <c r="F238" s="330" t="s">
        <v>570</v>
      </c>
      <c r="G238" s="116">
        <v>166.67</v>
      </c>
      <c r="H238" s="328" t="s">
        <v>1307</v>
      </c>
    </row>
    <row r="239" spans="1:8" s="255" customFormat="1">
      <c r="A239" s="326">
        <f t="shared" si="3"/>
        <v>230</v>
      </c>
      <c r="B239" s="327">
        <v>45077</v>
      </c>
      <c r="C239" s="328" t="s">
        <v>948</v>
      </c>
      <c r="D239" s="329" t="s">
        <v>684</v>
      </c>
      <c r="E239" s="328" t="s">
        <v>950</v>
      </c>
      <c r="F239" s="330" t="s">
        <v>609</v>
      </c>
      <c r="G239" s="118">
        <v>150</v>
      </c>
      <c r="H239" s="328" t="s">
        <v>1307</v>
      </c>
    </row>
    <row r="240" spans="1:8" s="255" customFormat="1">
      <c r="A240" s="326">
        <f t="shared" si="3"/>
        <v>231</v>
      </c>
      <c r="B240" s="327">
        <v>45077</v>
      </c>
      <c r="C240" s="328" t="s">
        <v>948</v>
      </c>
      <c r="D240" s="329" t="s">
        <v>684</v>
      </c>
      <c r="E240" s="255" t="s">
        <v>950</v>
      </c>
      <c r="F240" s="330" t="s">
        <v>609</v>
      </c>
      <c r="G240" s="118">
        <v>154.79</v>
      </c>
      <c r="H240" s="328" t="s">
        <v>1307</v>
      </c>
    </row>
    <row r="241" spans="1:8" s="255" customFormat="1">
      <c r="A241" s="326">
        <f t="shared" si="3"/>
        <v>232</v>
      </c>
      <c r="B241" s="327">
        <v>45077</v>
      </c>
      <c r="C241" s="328" t="s">
        <v>948</v>
      </c>
      <c r="D241" s="329" t="s">
        <v>684</v>
      </c>
      <c r="E241" s="255" t="s">
        <v>950</v>
      </c>
      <c r="F241" s="328" t="s">
        <v>609</v>
      </c>
      <c r="G241" s="118">
        <v>267.57</v>
      </c>
      <c r="H241" s="328" t="s">
        <v>1307</v>
      </c>
    </row>
    <row r="242" spans="1:8" s="255" customFormat="1">
      <c r="A242" s="326">
        <f t="shared" si="3"/>
        <v>233</v>
      </c>
      <c r="B242" s="327">
        <v>45077</v>
      </c>
      <c r="C242" s="328" t="s">
        <v>948</v>
      </c>
      <c r="D242" s="329" t="s">
        <v>684</v>
      </c>
      <c r="E242" s="328" t="s">
        <v>951</v>
      </c>
      <c r="F242" s="328" t="s">
        <v>570</v>
      </c>
      <c r="G242" s="116">
        <v>1990.11</v>
      </c>
      <c r="H242" s="328" t="s">
        <v>1307</v>
      </c>
    </row>
    <row r="243" spans="1:8" s="255" customFormat="1">
      <c r="A243" s="326">
        <f t="shared" si="3"/>
        <v>234</v>
      </c>
      <c r="B243" s="327">
        <v>45077</v>
      </c>
      <c r="C243" s="328" t="s">
        <v>948</v>
      </c>
      <c r="D243" s="329" t="s">
        <v>684</v>
      </c>
      <c r="E243" s="328" t="s">
        <v>952</v>
      </c>
      <c r="F243" s="328" t="s">
        <v>794</v>
      </c>
      <c r="G243" s="118">
        <v>953.64</v>
      </c>
      <c r="H243" s="328" t="s">
        <v>1307</v>
      </c>
    </row>
    <row r="244" spans="1:8" s="255" customFormat="1">
      <c r="A244" s="326">
        <f t="shared" si="3"/>
        <v>235</v>
      </c>
      <c r="B244" s="327">
        <v>45077</v>
      </c>
      <c r="C244" s="328" t="s">
        <v>948</v>
      </c>
      <c r="D244" s="328" t="s">
        <v>684</v>
      </c>
      <c r="E244" s="328" t="s">
        <v>1129</v>
      </c>
      <c r="F244" s="328" t="s">
        <v>609</v>
      </c>
      <c r="G244" s="116">
        <v>939</v>
      </c>
      <c r="H244" s="328" t="s">
        <v>1307</v>
      </c>
    </row>
    <row r="245" spans="1:8" s="255" customFormat="1">
      <c r="A245" s="326">
        <f t="shared" si="3"/>
        <v>236</v>
      </c>
      <c r="B245" s="327">
        <v>45077</v>
      </c>
      <c r="C245" s="328" t="s">
        <v>948</v>
      </c>
      <c r="D245" s="328" t="s">
        <v>684</v>
      </c>
      <c r="E245" s="328" t="s">
        <v>945</v>
      </c>
      <c r="F245" s="330" t="s">
        <v>795</v>
      </c>
      <c r="G245" s="116">
        <v>877</v>
      </c>
      <c r="H245" s="328" t="s">
        <v>1307</v>
      </c>
    </row>
    <row r="246" spans="1:8" s="255" customFormat="1">
      <c r="A246" s="326">
        <f t="shared" si="3"/>
        <v>237</v>
      </c>
      <c r="B246" s="327">
        <v>45077</v>
      </c>
      <c r="C246" s="328" t="s">
        <v>948</v>
      </c>
      <c r="D246" s="329" t="s">
        <v>684</v>
      </c>
      <c r="E246" s="255" t="s">
        <v>1125</v>
      </c>
      <c r="F246" s="330" t="s">
        <v>570</v>
      </c>
      <c r="G246" s="118">
        <v>68.62</v>
      </c>
      <c r="H246" s="328" t="s">
        <v>1307</v>
      </c>
    </row>
    <row r="247" spans="1:8" s="255" customFormat="1">
      <c r="A247" s="326">
        <f t="shared" si="3"/>
        <v>238</v>
      </c>
      <c r="B247" s="327">
        <v>45077</v>
      </c>
      <c r="C247" s="328" t="s">
        <v>948</v>
      </c>
      <c r="D247" s="328" t="s">
        <v>684</v>
      </c>
      <c r="E247" s="328" t="s">
        <v>1310</v>
      </c>
      <c r="F247" s="330" t="s">
        <v>609</v>
      </c>
      <c r="G247" s="116">
        <v>2100</v>
      </c>
      <c r="H247" s="328" t="s">
        <v>1307</v>
      </c>
    </row>
    <row r="248" spans="1:8" s="255" customFormat="1">
      <c r="A248" s="326">
        <f t="shared" si="3"/>
        <v>239</v>
      </c>
      <c r="B248" s="327">
        <v>45077</v>
      </c>
      <c r="C248" s="328" t="s">
        <v>948</v>
      </c>
      <c r="D248" s="329" t="s">
        <v>684</v>
      </c>
      <c r="E248" s="255" t="s">
        <v>989</v>
      </c>
      <c r="F248" s="330" t="s">
        <v>609</v>
      </c>
      <c r="G248" s="118">
        <v>602.82000000000005</v>
      </c>
      <c r="H248" s="328" t="s">
        <v>1307</v>
      </c>
    </row>
    <row r="249" spans="1:8" s="255" customFormat="1">
      <c r="A249" s="326">
        <f t="shared" si="3"/>
        <v>240</v>
      </c>
      <c r="B249" s="327">
        <v>45077</v>
      </c>
      <c r="C249" s="328" t="s">
        <v>948</v>
      </c>
      <c r="D249" s="329" t="s">
        <v>684</v>
      </c>
      <c r="E249" s="328" t="s">
        <v>850</v>
      </c>
      <c r="F249" s="328" t="s">
        <v>609</v>
      </c>
      <c r="G249" s="116">
        <v>809.22</v>
      </c>
      <c r="H249" s="328" t="s">
        <v>1307</v>
      </c>
    </row>
    <row r="250" spans="1:8" s="255" customFormat="1">
      <c r="A250" s="326">
        <f t="shared" si="3"/>
        <v>241</v>
      </c>
      <c r="B250" s="327">
        <v>45077</v>
      </c>
      <c r="C250" s="328" t="s">
        <v>907</v>
      </c>
      <c r="D250" s="329" t="s">
        <v>684</v>
      </c>
      <c r="E250" s="328" t="s">
        <v>1134</v>
      </c>
      <c r="F250" s="330" t="s">
        <v>795</v>
      </c>
      <c r="G250" s="118">
        <v>100</v>
      </c>
      <c r="H250" s="328" t="s">
        <v>1308</v>
      </c>
    </row>
    <row r="251" spans="1:8" s="255" customFormat="1">
      <c r="A251" s="326">
        <f t="shared" si="3"/>
        <v>242</v>
      </c>
      <c r="B251" s="327">
        <v>45077</v>
      </c>
      <c r="C251" s="328" t="s">
        <v>948</v>
      </c>
      <c r="D251" s="329" t="s">
        <v>684</v>
      </c>
      <c r="E251" s="328" t="s">
        <v>1172</v>
      </c>
      <c r="F251" s="328" t="s">
        <v>794</v>
      </c>
      <c r="G251" s="116">
        <v>83.33</v>
      </c>
      <c r="H251" s="328" t="s">
        <v>1307</v>
      </c>
    </row>
    <row r="252" spans="1:8" s="255" customFormat="1">
      <c r="A252" s="326">
        <f t="shared" si="3"/>
        <v>243</v>
      </c>
      <c r="B252" s="327">
        <v>45077</v>
      </c>
      <c r="C252" s="328" t="s">
        <v>948</v>
      </c>
      <c r="D252" s="329" t="s">
        <v>684</v>
      </c>
      <c r="E252" s="255" t="s">
        <v>1126</v>
      </c>
      <c r="F252" s="330" t="s">
        <v>795</v>
      </c>
      <c r="G252" s="118">
        <v>226.07</v>
      </c>
      <c r="H252" s="328" t="s">
        <v>1307</v>
      </c>
    </row>
    <row r="253" spans="1:8" s="255" customFormat="1">
      <c r="A253" s="326">
        <f t="shared" si="3"/>
        <v>244</v>
      </c>
      <c r="B253" s="327">
        <v>45077</v>
      </c>
      <c r="C253" s="328" t="s">
        <v>948</v>
      </c>
      <c r="D253" s="329" t="s">
        <v>684</v>
      </c>
      <c r="E253" s="255" t="s">
        <v>1024</v>
      </c>
      <c r="F253" s="328" t="s">
        <v>609</v>
      </c>
      <c r="G253" s="118">
        <v>45.53</v>
      </c>
      <c r="H253" s="328" t="s">
        <v>1307</v>
      </c>
    </row>
    <row r="254" spans="1:8" s="255" customFormat="1">
      <c r="A254" s="326">
        <f t="shared" si="3"/>
        <v>245</v>
      </c>
      <c r="B254" s="327">
        <v>45077</v>
      </c>
      <c r="C254" s="328" t="s">
        <v>907</v>
      </c>
      <c r="D254" s="329" t="s">
        <v>684</v>
      </c>
      <c r="E254" s="328" t="s">
        <v>1127</v>
      </c>
      <c r="F254" s="330" t="s">
        <v>795</v>
      </c>
      <c r="G254" s="118">
        <v>58.33</v>
      </c>
      <c r="H254" s="328" t="s">
        <v>1307</v>
      </c>
    </row>
    <row r="255" spans="1:8" s="255" customFormat="1">
      <c r="A255" s="326">
        <f t="shared" si="3"/>
        <v>246</v>
      </c>
      <c r="B255" s="327">
        <v>45077</v>
      </c>
      <c r="C255" s="328" t="s">
        <v>907</v>
      </c>
      <c r="D255" s="329" t="s">
        <v>684</v>
      </c>
      <c r="E255" s="328" t="s">
        <v>1315</v>
      </c>
      <c r="F255" s="330" t="s">
        <v>795</v>
      </c>
      <c r="G255" s="118">
        <v>200</v>
      </c>
      <c r="H255" s="328" t="s">
        <v>1308</v>
      </c>
    </row>
    <row r="256" spans="1:8" s="255" customFormat="1">
      <c r="A256" s="326">
        <f t="shared" si="3"/>
        <v>247</v>
      </c>
      <c r="B256" s="327">
        <v>45077</v>
      </c>
      <c r="C256" s="328" t="s">
        <v>948</v>
      </c>
      <c r="D256" s="329" t="s">
        <v>684</v>
      </c>
      <c r="E256" s="328" t="s">
        <v>1018</v>
      </c>
      <c r="F256" s="330" t="s">
        <v>609</v>
      </c>
      <c r="G256" s="118">
        <v>41.67</v>
      </c>
      <c r="H256" s="328" t="s">
        <v>1307</v>
      </c>
    </row>
    <row r="257" spans="1:8" s="255" customFormat="1">
      <c r="A257" s="326">
        <f t="shared" si="3"/>
        <v>248</v>
      </c>
      <c r="B257" s="327">
        <v>45077</v>
      </c>
      <c r="C257" s="328" t="s">
        <v>948</v>
      </c>
      <c r="D257" s="329" t="s">
        <v>684</v>
      </c>
      <c r="E257" s="328" t="s">
        <v>954</v>
      </c>
      <c r="F257" s="328" t="s">
        <v>795</v>
      </c>
      <c r="G257" s="118">
        <v>41.67</v>
      </c>
      <c r="H257" s="328" t="s">
        <v>1307</v>
      </c>
    </row>
    <row r="258" spans="1:8" s="255" customFormat="1">
      <c r="A258" s="326">
        <f t="shared" si="3"/>
        <v>249</v>
      </c>
      <c r="B258" s="327">
        <v>45077</v>
      </c>
      <c r="C258" s="328" t="s">
        <v>948</v>
      </c>
      <c r="D258" s="329" t="s">
        <v>684</v>
      </c>
      <c r="E258" s="255" t="s">
        <v>954</v>
      </c>
      <c r="F258" s="328" t="s">
        <v>795</v>
      </c>
      <c r="G258" s="118">
        <v>66.67</v>
      </c>
      <c r="H258" s="328" t="s">
        <v>1307</v>
      </c>
    </row>
    <row r="259" spans="1:8" s="255" customFormat="1">
      <c r="A259" s="326">
        <f t="shared" si="3"/>
        <v>250</v>
      </c>
      <c r="B259" s="327">
        <v>45077</v>
      </c>
      <c r="C259" s="328" t="s">
        <v>948</v>
      </c>
      <c r="D259" s="329" t="s">
        <v>684</v>
      </c>
      <c r="E259" s="328" t="s">
        <v>851</v>
      </c>
      <c r="F259" s="330" t="s">
        <v>795</v>
      </c>
      <c r="G259" s="116">
        <v>228.47</v>
      </c>
      <c r="H259" s="328" t="s">
        <v>1307</v>
      </c>
    </row>
    <row r="260" spans="1:8" s="255" customFormat="1">
      <c r="A260" s="326">
        <f t="shared" si="3"/>
        <v>251</v>
      </c>
      <c r="B260" s="327">
        <v>45077</v>
      </c>
      <c r="C260" s="328" t="s">
        <v>907</v>
      </c>
      <c r="D260" s="329" t="s">
        <v>684</v>
      </c>
      <c r="E260" s="328" t="s">
        <v>1136</v>
      </c>
      <c r="F260" s="330" t="s">
        <v>795</v>
      </c>
      <c r="G260" s="118">
        <v>374.85</v>
      </c>
      <c r="H260" s="328" t="s">
        <v>1307</v>
      </c>
    </row>
    <row r="261" spans="1:8" s="255" customFormat="1">
      <c r="A261" s="326">
        <f t="shared" si="3"/>
        <v>252</v>
      </c>
      <c r="B261" s="327">
        <v>45077</v>
      </c>
      <c r="C261" s="328" t="s">
        <v>948</v>
      </c>
      <c r="D261" s="329" t="s">
        <v>684</v>
      </c>
      <c r="E261" s="328" t="s">
        <v>1137</v>
      </c>
      <c r="F261" s="330" t="s">
        <v>795</v>
      </c>
      <c r="G261" s="118">
        <v>145.83000000000001</v>
      </c>
      <c r="H261" s="328" t="s">
        <v>1307</v>
      </c>
    </row>
    <row r="262" spans="1:8" s="255" customFormat="1">
      <c r="A262" s="326">
        <f t="shared" si="3"/>
        <v>253</v>
      </c>
      <c r="B262" s="327">
        <v>45077</v>
      </c>
      <c r="C262" s="328" t="s">
        <v>907</v>
      </c>
      <c r="D262" s="329" t="s">
        <v>684</v>
      </c>
      <c r="E262" s="328" t="s">
        <v>1138</v>
      </c>
      <c r="F262" s="330" t="s">
        <v>795</v>
      </c>
      <c r="G262" s="118">
        <v>43.8</v>
      </c>
      <c r="H262" s="328" t="s">
        <v>1307</v>
      </c>
    </row>
    <row r="263" spans="1:8" s="255" customFormat="1">
      <c r="A263" s="326">
        <f t="shared" si="3"/>
        <v>254</v>
      </c>
      <c r="B263" s="327">
        <v>45077</v>
      </c>
      <c r="C263" s="328" t="s">
        <v>948</v>
      </c>
      <c r="D263" s="328" t="s">
        <v>684</v>
      </c>
      <c r="E263" s="328" t="s">
        <v>955</v>
      </c>
      <c r="F263" s="330" t="s">
        <v>609</v>
      </c>
      <c r="G263" s="118">
        <v>2736.18</v>
      </c>
      <c r="H263" s="328" t="s">
        <v>1307</v>
      </c>
    </row>
    <row r="264" spans="1:8" s="255" customFormat="1">
      <c r="A264" s="326">
        <f t="shared" si="3"/>
        <v>255</v>
      </c>
      <c r="B264" s="327">
        <v>45077</v>
      </c>
      <c r="C264" s="328" t="s">
        <v>948</v>
      </c>
      <c r="D264" s="329" t="s">
        <v>684</v>
      </c>
      <c r="E264" s="255" t="s">
        <v>956</v>
      </c>
      <c r="F264" s="330" t="s">
        <v>609</v>
      </c>
      <c r="G264" s="118">
        <v>141.19</v>
      </c>
      <c r="H264" s="328" t="s">
        <v>1307</v>
      </c>
    </row>
    <row r="265" spans="1:8" s="255" customFormat="1">
      <c r="A265" s="326">
        <f t="shared" si="3"/>
        <v>256</v>
      </c>
      <c r="B265" s="327">
        <v>45077</v>
      </c>
      <c r="C265" s="328" t="s">
        <v>948</v>
      </c>
      <c r="D265" s="328" t="s">
        <v>684</v>
      </c>
      <c r="E265" s="255" t="s">
        <v>990</v>
      </c>
      <c r="F265" s="328" t="s">
        <v>570</v>
      </c>
      <c r="G265" s="118">
        <v>949</v>
      </c>
      <c r="H265" s="328" t="s">
        <v>1307</v>
      </c>
    </row>
    <row r="266" spans="1:8" s="255" customFormat="1">
      <c r="A266" s="326">
        <f t="shared" si="3"/>
        <v>257</v>
      </c>
      <c r="B266" s="327">
        <v>45077</v>
      </c>
      <c r="C266" s="328" t="s">
        <v>907</v>
      </c>
      <c r="D266" s="329" t="s">
        <v>684</v>
      </c>
      <c r="E266" s="328" t="s">
        <v>991</v>
      </c>
      <c r="F266" s="330" t="s">
        <v>795</v>
      </c>
      <c r="G266" s="118">
        <v>66.67</v>
      </c>
      <c r="H266" s="328" t="s">
        <v>1307</v>
      </c>
    </row>
    <row r="267" spans="1:8" s="255" customFormat="1">
      <c r="A267" s="326">
        <f t="shared" si="3"/>
        <v>258</v>
      </c>
      <c r="B267" s="327">
        <v>45077</v>
      </c>
      <c r="C267" s="328" t="s">
        <v>948</v>
      </c>
      <c r="D267" s="329" t="s">
        <v>684</v>
      </c>
      <c r="E267" s="255" t="s">
        <v>1168</v>
      </c>
      <c r="F267" s="328" t="s">
        <v>795</v>
      </c>
      <c r="G267" s="118">
        <v>153</v>
      </c>
      <c r="H267" s="328" t="s">
        <v>1307</v>
      </c>
    </row>
    <row r="268" spans="1:8" s="255" customFormat="1">
      <c r="A268" s="326">
        <f t="shared" ref="A268:A331" si="4">A267+1</f>
        <v>259</v>
      </c>
      <c r="B268" s="327">
        <v>45077</v>
      </c>
      <c r="C268" s="328" t="s">
        <v>948</v>
      </c>
      <c r="D268" s="328" t="s">
        <v>684</v>
      </c>
      <c r="E268" s="328" t="s">
        <v>1311</v>
      </c>
      <c r="F268" s="328" t="s">
        <v>609</v>
      </c>
      <c r="G268" s="118">
        <v>3537.38</v>
      </c>
      <c r="H268" s="328" t="s">
        <v>1307</v>
      </c>
    </row>
    <row r="269" spans="1:8" s="255" customFormat="1">
      <c r="A269" s="326">
        <f t="shared" si="4"/>
        <v>260</v>
      </c>
      <c r="B269" s="327">
        <v>45077</v>
      </c>
      <c r="C269" s="328" t="s">
        <v>948</v>
      </c>
      <c r="D269" s="329" t="s">
        <v>684</v>
      </c>
      <c r="E269" s="328" t="s">
        <v>1026</v>
      </c>
      <c r="F269" s="330" t="s">
        <v>794</v>
      </c>
      <c r="G269" s="116">
        <v>747.76</v>
      </c>
      <c r="H269" s="328" t="s">
        <v>1307</v>
      </c>
    </row>
    <row r="270" spans="1:8" s="255" customFormat="1">
      <c r="A270" s="326">
        <f t="shared" si="4"/>
        <v>261</v>
      </c>
      <c r="B270" s="327">
        <v>45077</v>
      </c>
      <c r="C270" s="328" t="s">
        <v>948</v>
      </c>
      <c r="D270" s="328" t="s">
        <v>684</v>
      </c>
      <c r="E270" s="328" t="s">
        <v>1133</v>
      </c>
      <c r="F270" s="330" t="s">
        <v>795</v>
      </c>
      <c r="G270" s="118">
        <v>1033</v>
      </c>
      <c r="H270" s="328" t="s">
        <v>1307</v>
      </c>
    </row>
    <row r="271" spans="1:8" s="255" customFormat="1">
      <c r="A271" s="326">
        <f t="shared" si="4"/>
        <v>262</v>
      </c>
      <c r="B271" s="327">
        <v>45077</v>
      </c>
      <c r="C271" s="328" t="s">
        <v>948</v>
      </c>
      <c r="D271" s="329" t="s">
        <v>684</v>
      </c>
      <c r="E271" s="328" t="s">
        <v>1169</v>
      </c>
      <c r="F271" s="330" t="s">
        <v>609</v>
      </c>
      <c r="G271" s="118">
        <v>440</v>
      </c>
      <c r="H271" s="328" t="s">
        <v>1307</v>
      </c>
    </row>
    <row r="272" spans="1:8" s="255" customFormat="1">
      <c r="A272" s="326">
        <f t="shared" si="4"/>
        <v>263</v>
      </c>
      <c r="B272" s="327">
        <v>45077</v>
      </c>
      <c r="C272" s="328" t="s">
        <v>948</v>
      </c>
      <c r="D272" s="329" t="s">
        <v>684</v>
      </c>
      <c r="E272" s="328" t="s">
        <v>1020</v>
      </c>
      <c r="F272" s="330" t="s">
        <v>794</v>
      </c>
      <c r="G272" s="116">
        <v>450</v>
      </c>
      <c r="H272" s="328" t="s">
        <v>1307</v>
      </c>
    </row>
    <row r="273" spans="1:8" s="255" customFormat="1">
      <c r="A273" s="326">
        <f t="shared" si="4"/>
        <v>264</v>
      </c>
      <c r="B273" s="327">
        <v>45107</v>
      </c>
      <c r="C273" s="328" t="s">
        <v>907</v>
      </c>
      <c r="D273" s="328" t="s">
        <v>685</v>
      </c>
      <c r="E273" s="328" t="s">
        <v>1022</v>
      </c>
      <c r="F273" s="330" t="s">
        <v>795</v>
      </c>
      <c r="G273" s="116">
        <v>50</v>
      </c>
      <c r="H273" s="328" t="s">
        <v>1307</v>
      </c>
    </row>
    <row r="274" spans="1:8" s="255" customFormat="1">
      <c r="A274" s="326">
        <f t="shared" si="4"/>
        <v>265</v>
      </c>
      <c r="B274" s="327">
        <v>45107</v>
      </c>
      <c r="C274" s="328" t="s">
        <v>907</v>
      </c>
      <c r="D274" s="328" t="s">
        <v>685</v>
      </c>
      <c r="E274" s="255" t="s">
        <v>1022</v>
      </c>
      <c r="F274" s="330" t="s">
        <v>795</v>
      </c>
      <c r="G274" s="118">
        <v>100</v>
      </c>
      <c r="H274" s="328" t="s">
        <v>1307</v>
      </c>
    </row>
    <row r="275" spans="1:8" s="255" customFormat="1">
      <c r="A275" s="326">
        <f t="shared" si="4"/>
        <v>266</v>
      </c>
      <c r="B275" s="327">
        <v>45107</v>
      </c>
      <c r="C275" s="328" t="s">
        <v>907</v>
      </c>
      <c r="D275" s="328" t="s">
        <v>685</v>
      </c>
      <c r="E275" s="328" t="s">
        <v>1316</v>
      </c>
      <c r="F275" s="330" t="s">
        <v>795</v>
      </c>
      <c r="G275" s="116">
        <v>100</v>
      </c>
      <c r="H275" s="328" t="s">
        <v>1308</v>
      </c>
    </row>
    <row r="276" spans="1:8" s="255" customFormat="1">
      <c r="A276" s="326">
        <f t="shared" si="4"/>
        <v>267</v>
      </c>
      <c r="B276" s="327">
        <v>45107</v>
      </c>
      <c r="C276" s="328" t="s">
        <v>948</v>
      </c>
      <c r="D276" s="329" t="s">
        <v>685</v>
      </c>
      <c r="E276" s="255" t="s">
        <v>1139</v>
      </c>
      <c r="F276" s="328" t="s">
        <v>795</v>
      </c>
      <c r="G276" s="118">
        <v>42.92</v>
      </c>
      <c r="H276" s="328" t="s">
        <v>1307</v>
      </c>
    </row>
    <row r="277" spans="1:8" s="255" customFormat="1">
      <c r="A277" s="326">
        <f t="shared" si="4"/>
        <v>268</v>
      </c>
      <c r="B277" s="327">
        <v>45107</v>
      </c>
      <c r="C277" s="328" t="s">
        <v>907</v>
      </c>
      <c r="D277" s="328" t="s">
        <v>685</v>
      </c>
      <c r="E277" s="328" t="s">
        <v>1313</v>
      </c>
      <c r="F277" s="330" t="s">
        <v>795</v>
      </c>
      <c r="G277" s="116">
        <v>583.33000000000004</v>
      </c>
      <c r="H277" s="328" t="s">
        <v>1307</v>
      </c>
    </row>
    <row r="278" spans="1:8" s="255" customFormat="1">
      <c r="A278" s="326">
        <f t="shared" si="4"/>
        <v>269</v>
      </c>
      <c r="B278" s="327">
        <v>45107</v>
      </c>
      <c r="C278" s="328" t="s">
        <v>907</v>
      </c>
      <c r="D278" s="328" t="s">
        <v>685</v>
      </c>
      <c r="E278" s="255" t="s">
        <v>897</v>
      </c>
      <c r="F278" s="330" t="s">
        <v>795</v>
      </c>
      <c r="G278" s="118">
        <v>62.5</v>
      </c>
      <c r="H278" s="328" t="s">
        <v>1307</v>
      </c>
    </row>
    <row r="279" spans="1:8" s="255" customFormat="1">
      <c r="A279" s="326">
        <f t="shared" si="4"/>
        <v>270</v>
      </c>
      <c r="B279" s="327">
        <v>45107</v>
      </c>
      <c r="C279" s="328" t="s">
        <v>948</v>
      </c>
      <c r="D279" s="328" t="s">
        <v>685</v>
      </c>
      <c r="E279" s="328" t="s">
        <v>1312</v>
      </c>
      <c r="F279" s="330" t="s">
        <v>609</v>
      </c>
      <c r="G279" s="118">
        <v>1000</v>
      </c>
      <c r="H279" s="328" t="s">
        <v>1307</v>
      </c>
    </row>
    <row r="280" spans="1:8" s="255" customFormat="1">
      <c r="A280" s="326">
        <f t="shared" si="4"/>
        <v>271</v>
      </c>
      <c r="B280" s="327">
        <v>45107</v>
      </c>
      <c r="C280" s="328" t="s">
        <v>948</v>
      </c>
      <c r="D280" s="329" t="s">
        <v>685</v>
      </c>
      <c r="E280" s="255" t="s">
        <v>1171</v>
      </c>
      <c r="F280" s="330" t="s">
        <v>794</v>
      </c>
      <c r="G280" s="118">
        <v>166.67</v>
      </c>
      <c r="H280" s="328" t="s">
        <v>1307</v>
      </c>
    </row>
    <row r="281" spans="1:8" s="255" customFormat="1">
      <c r="A281" s="326">
        <f t="shared" si="4"/>
        <v>272</v>
      </c>
      <c r="B281" s="327">
        <v>45107</v>
      </c>
      <c r="C281" s="328" t="s">
        <v>948</v>
      </c>
      <c r="D281" s="328" t="s">
        <v>685</v>
      </c>
      <c r="E281" s="328" t="s">
        <v>1132</v>
      </c>
      <c r="F281" s="330" t="s">
        <v>795</v>
      </c>
      <c r="G281" s="118">
        <v>493</v>
      </c>
      <c r="H281" s="328" t="s">
        <v>1307</v>
      </c>
    </row>
    <row r="282" spans="1:8" s="255" customFormat="1">
      <c r="A282" s="326">
        <f t="shared" si="4"/>
        <v>273</v>
      </c>
      <c r="B282" s="327">
        <v>45107</v>
      </c>
      <c r="C282" s="328" t="s">
        <v>907</v>
      </c>
      <c r="D282" s="328" t="s">
        <v>685</v>
      </c>
      <c r="E282" s="328" t="s">
        <v>848</v>
      </c>
      <c r="F282" s="330" t="s">
        <v>795</v>
      </c>
      <c r="G282" s="116">
        <v>100</v>
      </c>
      <c r="H282" s="328" t="s">
        <v>1308</v>
      </c>
    </row>
    <row r="283" spans="1:8" s="255" customFormat="1">
      <c r="A283" s="326">
        <f t="shared" si="4"/>
        <v>274</v>
      </c>
      <c r="B283" s="327">
        <v>45107</v>
      </c>
      <c r="C283" s="328" t="s">
        <v>948</v>
      </c>
      <c r="D283" s="328" t="s">
        <v>685</v>
      </c>
      <c r="E283" s="328" t="s">
        <v>987</v>
      </c>
      <c r="F283" s="328" t="s">
        <v>570</v>
      </c>
      <c r="G283" s="116">
        <v>1002</v>
      </c>
      <c r="H283" s="328" t="s">
        <v>1307</v>
      </c>
    </row>
    <row r="284" spans="1:8" s="255" customFormat="1">
      <c r="A284" s="326">
        <f t="shared" si="4"/>
        <v>275</v>
      </c>
      <c r="B284" s="327">
        <v>45107</v>
      </c>
      <c r="C284" s="328" t="s">
        <v>948</v>
      </c>
      <c r="D284" s="329" t="s">
        <v>685</v>
      </c>
      <c r="E284" s="255" t="s">
        <v>1130</v>
      </c>
      <c r="F284" s="330" t="s">
        <v>795</v>
      </c>
      <c r="G284" s="118">
        <v>45.53</v>
      </c>
      <c r="H284" s="328" t="s">
        <v>1307</v>
      </c>
    </row>
    <row r="285" spans="1:8" s="255" customFormat="1">
      <c r="A285" s="326">
        <f t="shared" si="4"/>
        <v>276</v>
      </c>
      <c r="B285" s="327">
        <v>45107</v>
      </c>
      <c r="C285" s="328" t="s">
        <v>907</v>
      </c>
      <c r="D285" s="328" t="s">
        <v>685</v>
      </c>
      <c r="E285" s="328" t="s">
        <v>1314</v>
      </c>
      <c r="F285" s="330" t="s">
        <v>795</v>
      </c>
      <c r="G285" s="116">
        <v>62.5</v>
      </c>
      <c r="H285" s="328" t="s">
        <v>1307</v>
      </c>
    </row>
    <row r="286" spans="1:8" s="255" customFormat="1">
      <c r="A286" s="326">
        <f t="shared" si="4"/>
        <v>277</v>
      </c>
      <c r="B286" s="327">
        <v>45107</v>
      </c>
      <c r="C286" s="328" t="s">
        <v>907</v>
      </c>
      <c r="D286" s="328" t="s">
        <v>685</v>
      </c>
      <c r="E286" s="255" t="s">
        <v>1015</v>
      </c>
      <c r="F286" s="330" t="s">
        <v>795</v>
      </c>
      <c r="G286" s="118">
        <v>75</v>
      </c>
      <c r="H286" s="328" t="s">
        <v>1307</v>
      </c>
    </row>
    <row r="287" spans="1:8" s="255" customFormat="1">
      <c r="A287" s="326">
        <f t="shared" si="4"/>
        <v>278</v>
      </c>
      <c r="B287" s="327">
        <v>45107</v>
      </c>
      <c r="C287" s="328" t="s">
        <v>948</v>
      </c>
      <c r="D287" s="329" t="s">
        <v>685</v>
      </c>
      <c r="E287" s="328" t="s">
        <v>870</v>
      </c>
      <c r="F287" s="330" t="s">
        <v>795</v>
      </c>
      <c r="G287" s="118">
        <v>41.67</v>
      </c>
      <c r="H287" s="328" t="s">
        <v>1307</v>
      </c>
    </row>
    <row r="288" spans="1:8" s="255" customFormat="1">
      <c r="A288" s="326">
        <f t="shared" si="4"/>
        <v>279</v>
      </c>
      <c r="B288" s="327">
        <v>45107</v>
      </c>
      <c r="C288" s="328" t="s">
        <v>948</v>
      </c>
      <c r="D288" s="329" t="s">
        <v>685</v>
      </c>
      <c r="E288" s="328" t="s">
        <v>852</v>
      </c>
      <c r="F288" s="328" t="s">
        <v>570</v>
      </c>
      <c r="G288" s="118">
        <v>41.67</v>
      </c>
      <c r="H288" s="328" t="s">
        <v>1307</v>
      </c>
    </row>
    <row r="289" spans="1:8" s="255" customFormat="1">
      <c r="A289" s="326">
        <f t="shared" si="4"/>
        <v>280</v>
      </c>
      <c r="B289" s="327">
        <v>45107</v>
      </c>
      <c r="C289" s="328" t="s">
        <v>948</v>
      </c>
      <c r="D289" s="329" t="s">
        <v>685</v>
      </c>
      <c r="E289" s="328" t="s">
        <v>949</v>
      </c>
      <c r="F289" s="330" t="s">
        <v>609</v>
      </c>
      <c r="G289" s="116">
        <v>179.17</v>
      </c>
      <c r="H289" s="328" t="s">
        <v>1307</v>
      </c>
    </row>
    <row r="290" spans="1:8" s="255" customFormat="1">
      <c r="A290" s="326">
        <f t="shared" si="4"/>
        <v>281</v>
      </c>
      <c r="B290" s="327">
        <v>45107</v>
      </c>
      <c r="C290" s="328" t="s">
        <v>948</v>
      </c>
      <c r="D290" s="329" t="s">
        <v>685</v>
      </c>
      <c r="E290" s="328" t="s">
        <v>909</v>
      </c>
      <c r="F290" s="328" t="s">
        <v>570</v>
      </c>
      <c r="G290" s="118">
        <v>52.78</v>
      </c>
      <c r="H290" s="328" t="s">
        <v>1307</v>
      </c>
    </row>
    <row r="291" spans="1:8" s="255" customFormat="1">
      <c r="A291" s="326">
        <f t="shared" si="4"/>
        <v>282</v>
      </c>
      <c r="B291" s="327">
        <v>45107</v>
      </c>
      <c r="C291" s="328" t="s">
        <v>948</v>
      </c>
      <c r="D291" s="329" t="s">
        <v>685</v>
      </c>
      <c r="E291" s="255" t="s">
        <v>1025</v>
      </c>
      <c r="F291" s="330" t="s">
        <v>609</v>
      </c>
      <c r="G291" s="118">
        <v>41.67</v>
      </c>
      <c r="H291" s="328" t="s">
        <v>1307</v>
      </c>
    </row>
    <row r="292" spans="1:8" s="255" customFormat="1">
      <c r="A292" s="326">
        <f t="shared" si="4"/>
        <v>283</v>
      </c>
      <c r="B292" s="327">
        <v>45107</v>
      </c>
      <c r="C292" s="328" t="s">
        <v>948</v>
      </c>
      <c r="D292" s="329" t="s">
        <v>685</v>
      </c>
      <c r="E292" s="328" t="s">
        <v>1023</v>
      </c>
      <c r="F292" s="330" t="s">
        <v>795</v>
      </c>
      <c r="G292" s="116">
        <v>45.53</v>
      </c>
      <c r="H292" s="328" t="s">
        <v>1307</v>
      </c>
    </row>
    <row r="293" spans="1:8" s="255" customFormat="1">
      <c r="A293" s="326">
        <f t="shared" si="4"/>
        <v>284</v>
      </c>
      <c r="B293" s="327">
        <v>45107</v>
      </c>
      <c r="C293" s="328" t="s">
        <v>948</v>
      </c>
      <c r="D293" s="329" t="s">
        <v>685</v>
      </c>
      <c r="E293" s="328" t="s">
        <v>1023</v>
      </c>
      <c r="F293" s="328" t="s">
        <v>570</v>
      </c>
      <c r="G293" s="116">
        <v>45.53</v>
      </c>
      <c r="H293" s="328" t="s">
        <v>1307</v>
      </c>
    </row>
    <row r="294" spans="1:8" s="255" customFormat="1">
      <c r="A294" s="326">
        <f t="shared" si="4"/>
        <v>285</v>
      </c>
      <c r="B294" s="327">
        <v>45107</v>
      </c>
      <c r="C294" s="328" t="s">
        <v>948</v>
      </c>
      <c r="D294" s="329" t="s">
        <v>685</v>
      </c>
      <c r="E294" s="328" t="s">
        <v>950</v>
      </c>
      <c r="F294" s="328" t="s">
        <v>570</v>
      </c>
      <c r="G294" s="116">
        <v>166.67</v>
      </c>
      <c r="H294" s="328" t="s">
        <v>1307</v>
      </c>
    </row>
    <row r="295" spans="1:8" s="255" customFormat="1">
      <c r="A295" s="326">
        <f t="shared" si="4"/>
        <v>286</v>
      </c>
      <c r="B295" s="327">
        <v>45107</v>
      </c>
      <c r="C295" s="328" t="s">
        <v>948</v>
      </c>
      <c r="D295" s="329" t="s">
        <v>685</v>
      </c>
      <c r="E295" s="255" t="s">
        <v>950</v>
      </c>
      <c r="F295" s="330" t="s">
        <v>609</v>
      </c>
      <c r="G295" s="118">
        <v>150</v>
      </c>
      <c r="H295" s="328" t="s">
        <v>1307</v>
      </c>
    </row>
    <row r="296" spans="1:8" s="255" customFormat="1">
      <c r="A296" s="326">
        <f t="shared" si="4"/>
        <v>287</v>
      </c>
      <c r="B296" s="327">
        <v>45107</v>
      </c>
      <c r="C296" s="328" t="s">
        <v>948</v>
      </c>
      <c r="D296" s="329" t="s">
        <v>685</v>
      </c>
      <c r="E296" s="328" t="s">
        <v>950</v>
      </c>
      <c r="F296" s="328" t="s">
        <v>609</v>
      </c>
      <c r="G296" s="116">
        <v>154.79</v>
      </c>
      <c r="H296" s="328" t="s">
        <v>1307</v>
      </c>
    </row>
    <row r="297" spans="1:8" s="255" customFormat="1">
      <c r="A297" s="326">
        <f t="shared" si="4"/>
        <v>288</v>
      </c>
      <c r="B297" s="327">
        <v>45107</v>
      </c>
      <c r="C297" s="328" t="s">
        <v>948</v>
      </c>
      <c r="D297" s="329" t="s">
        <v>685</v>
      </c>
      <c r="E297" s="255" t="s">
        <v>950</v>
      </c>
      <c r="F297" s="328" t="s">
        <v>609</v>
      </c>
      <c r="G297" s="118">
        <v>267.57</v>
      </c>
      <c r="H297" s="328" t="s">
        <v>1307</v>
      </c>
    </row>
    <row r="298" spans="1:8" s="255" customFormat="1">
      <c r="A298" s="326">
        <f t="shared" si="4"/>
        <v>289</v>
      </c>
      <c r="B298" s="327">
        <v>45107</v>
      </c>
      <c r="C298" s="328" t="s">
        <v>948</v>
      </c>
      <c r="D298" s="329" t="s">
        <v>685</v>
      </c>
      <c r="E298" s="328" t="s">
        <v>951</v>
      </c>
      <c r="F298" s="328" t="s">
        <v>570</v>
      </c>
      <c r="G298" s="116">
        <v>1990.11</v>
      </c>
      <c r="H298" s="328" t="s">
        <v>1307</v>
      </c>
    </row>
    <row r="299" spans="1:8" s="255" customFormat="1">
      <c r="A299" s="326">
        <f t="shared" si="4"/>
        <v>290</v>
      </c>
      <c r="B299" s="327">
        <v>45107</v>
      </c>
      <c r="C299" s="328" t="s">
        <v>948</v>
      </c>
      <c r="D299" s="329" t="s">
        <v>685</v>
      </c>
      <c r="E299" s="328" t="s">
        <v>952</v>
      </c>
      <c r="F299" s="328" t="s">
        <v>794</v>
      </c>
      <c r="G299" s="116">
        <v>953.64</v>
      </c>
      <c r="H299" s="328" t="s">
        <v>1307</v>
      </c>
    </row>
    <row r="300" spans="1:8" s="255" customFormat="1">
      <c r="A300" s="326">
        <f t="shared" si="4"/>
        <v>291</v>
      </c>
      <c r="B300" s="327">
        <v>45107</v>
      </c>
      <c r="C300" s="328" t="s">
        <v>948</v>
      </c>
      <c r="D300" s="329" t="s">
        <v>685</v>
      </c>
      <c r="E300" s="328" t="s">
        <v>898</v>
      </c>
      <c r="F300" s="330" t="s">
        <v>570</v>
      </c>
      <c r="G300" s="118">
        <v>231.86</v>
      </c>
      <c r="H300" s="328" t="s">
        <v>1308</v>
      </c>
    </row>
    <row r="301" spans="1:8" s="255" customFormat="1">
      <c r="A301" s="326">
        <f t="shared" si="4"/>
        <v>292</v>
      </c>
      <c r="B301" s="327">
        <v>45107</v>
      </c>
      <c r="C301" s="328" t="s">
        <v>948</v>
      </c>
      <c r="D301" s="328" t="s">
        <v>685</v>
      </c>
      <c r="E301" s="328" t="s">
        <v>1129</v>
      </c>
      <c r="F301" s="328" t="s">
        <v>609</v>
      </c>
      <c r="G301" s="116">
        <v>939</v>
      </c>
      <c r="H301" s="328" t="s">
        <v>1307</v>
      </c>
    </row>
    <row r="302" spans="1:8" s="255" customFormat="1">
      <c r="A302" s="326">
        <f t="shared" si="4"/>
        <v>293</v>
      </c>
      <c r="B302" s="327">
        <v>45107</v>
      </c>
      <c r="C302" s="328" t="s">
        <v>948</v>
      </c>
      <c r="D302" s="328" t="s">
        <v>685</v>
      </c>
      <c r="E302" s="328" t="s">
        <v>945</v>
      </c>
      <c r="F302" s="330" t="s">
        <v>795</v>
      </c>
      <c r="G302" s="116">
        <v>877</v>
      </c>
      <c r="H302" s="328" t="s">
        <v>1307</v>
      </c>
    </row>
    <row r="303" spans="1:8" s="255" customFormat="1">
      <c r="A303" s="326">
        <f t="shared" si="4"/>
        <v>294</v>
      </c>
      <c r="B303" s="327">
        <v>45107</v>
      </c>
      <c r="C303" s="328" t="s">
        <v>948</v>
      </c>
      <c r="D303" s="329" t="s">
        <v>685</v>
      </c>
      <c r="E303" s="328" t="s">
        <v>1125</v>
      </c>
      <c r="F303" s="330" t="s">
        <v>570</v>
      </c>
      <c r="G303" s="118">
        <v>68.61</v>
      </c>
      <c r="H303" s="328" t="s">
        <v>1307</v>
      </c>
    </row>
    <row r="304" spans="1:8" s="255" customFormat="1">
      <c r="A304" s="326">
        <f t="shared" si="4"/>
        <v>295</v>
      </c>
      <c r="B304" s="327">
        <v>45107</v>
      </c>
      <c r="C304" s="328" t="s">
        <v>948</v>
      </c>
      <c r="D304" s="328" t="s">
        <v>685</v>
      </c>
      <c r="E304" s="328" t="s">
        <v>1310</v>
      </c>
      <c r="F304" s="330" t="s">
        <v>609</v>
      </c>
      <c r="G304" s="116">
        <v>2100</v>
      </c>
      <c r="H304" s="328" t="s">
        <v>1307</v>
      </c>
    </row>
    <row r="305" spans="1:8" s="255" customFormat="1">
      <c r="A305" s="326">
        <f t="shared" si="4"/>
        <v>296</v>
      </c>
      <c r="B305" s="327">
        <v>45107</v>
      </c>
      <c r="C305" s="328" t="s">
        <v>948</v>
      </c>
      <c r="D305" s="329" t="s">
        <v>685</v>
      </c>
      <c r="E305" s="328" t="s">
        <v>989</v>
      </c>
      <c r="F305" s="330" t="s">
        <v>609</v>
      </c>
      <c r="G305" s="118">
        <v>602.82000000000005</v>
      </c>
      <c r="H305" s="328" t="s">
        <v>1307</v>
      </c>
    </row>
    <row r="306" spans="1:8" s="255" customFormat="1">
      <c r="A306" s="326">
        <f t="shared" si="4"/>
        <v>297</v>
      </c>
      <c r="B306" s="327">
        <v>45107</v>
      </c>
      <c r="C306" s="328" t="s">
        <v>948</v>
      </c>
      <c r="D306" s="329" t="s">
        <v>685</v>
      </c>
      <c r="E306" s="328" t="s">
        <v>850</v>
      </c>
      <c r="F306" s="328" t="s">
        <v>609</v>
      </c>
      <c r="G306" s="116">
        <v>809.22</v>
      </c>
      <c r="H306" s="328" t="s">
        <v>1307</v>
      </c>
    </row>
    <row r="307" spans="1:8" s="255" customFormat="1">
      <c r="A307" s="326">
        <f t="shared" si="4"/>
        <v>298</v>
      </c>
      <c r="B307" s="327">
        <v>45107</v>
      </c>
      <c r="C307" s="328" t="s">
        <v>948</v>
      </c>
      <c r="D307" s="329" t="s">
        <v>685</v>
      </c>
      <c r="E307" s="328" t="s">
        <v>1172</v>
      </c>
      <c r="F307" s="328" t="s">
        <v>794</v>
      </c>
      <c r="G307" s="116">
        <v>83.33</v>
      </c>
      <c r="H307" s="328" t="s">
        <v>1307</v>
      </c>
    </row>
    <row r="308" spans="1:8" s="255" customFormat="1">
      <c r="A308" s="326">
        <f t="shared" si="4"/>
        <v>299</v>
      </c>
      <c r="B308" s="327">
        <v>45107</v>
      </c>
      <c r="C308" s="328" t="s">
        <v>948</v>
      </c>
      <c r="D308" s="329" t="s">
        <v>685</v>
      </c>
      <c r="E308" s="328" t="s">
        <v>1126</v>
      </c>
      <c r="F308" s="328" t="s">
        <v>795</v>
      </c>
      <c r="G308" s="116">
        <v>226.07</v>
      </c>
      <c r="H308" s="328" t="s">
        <v>1307</v>
      </c>
    </row>
    <row r="309" spans="1:8" s="255" customFormat="1">
      <c r="A309" s="326">
        <f t="shared" si="4"/>
        <v>300</v>
      </c>
      <c r="B309" s="327">
        <v>45107</v>
      </c>
      <c r="C309" s="328" t="s">
        <v>948</v>
      </c>
      <c r="D309" s="329" t="s">
        <v>685</v>
      </c>
      <c r="E309" s="328" t="s">
        <v>1024</v>
      </c>
      <c r="F309" s="330" t="s">
        <v>609</v>
      </c>
      <c r="G309" s="118">
        <v>45.53</v>
      </c>
      <c r="H309" s="328" t="s">
        <v>1307</v>
      </c>
    </row>
    <row r="310" spans="1:8" s="255" customFormat="1">
      <c r="A310" s="326">
        <f t="shared" si="4"/>
        <v>301</v>
      </c>
      <c r="B310" s="327">
        <v>45107</v>
      </c>
      <c r="C310" s="328" t="s">
        <v>907</v>
      </c>
      <c r="D310" s="328" t="s">
        <v>685</v>
      </c>
      <c r="E310" s="255" t="s">
        <v>1127</v>
      </c>
      <c r="F310" s="330" t="s">
        <v>795</v>
      </c>
      <c r="G310" s="118">
        <v>58.33</v>
      </c>
      <c r="H310" s="328" t="s">
        <v>1307</v>
      </c>
    </row>
    <row r="311" spans="1:8" s="255" customFormat="1">
      <c r="A311" s="326">
        <f t="shared" si="4"/>
        <v>302</v>
      </c>
      <c r="B311" s="327">
        <v>45107</v>
      </c>
      <c r="C311" s="328" t="s">
        <v>948</v>
      </c>
      <c r="D311" s="329" t="s">
        <v>685</v>
      </c>
      <c r="E311" s="328" t="s">
        <v>1018</v>
      </c>
      <c r="F311" s="330" t="s">
        <v>609</v>
      </c>
      <c r="G311" s="116">
        <v>41.67</v>
      </c>
      <c r="H311" s="328" t="s">
        <v>1307</v>
      </c>
    </row>
    <row r="312" spans="1:8" s="255" customFormat="1">
      <c r="A312" s="326">
        <f t="shared" si="4"/>
        <v>303</v>
      </c>
      <c r="B312" s="327">
        <v>45107</v>
      </c>
      <c r="C312" s="328" t="s">
        <v>948</v>
      </c>
      <c r="D312" s="329" t="s">
        <v>685</v>
      </c>
      <c r="E312" s="328" t="s">
        <v>954</v>
      </c>
      <c r="F312" s="330" t="s">
        <v>795</v>
      </c>
      <c r="G312" s="116">
        <v>41.67</v>
      </c>
      <c r="H312" s="328" t="s">
        <v>1307</v>
      </c>
    </row>
    <row r="313" spans="1:8" s="255" customFormat="1">
      <c r="A313" s="326">
        <f t="shared" si="4"/>
        <v>304</v>
      </c>
      <c r="B313" s="327">
        <v>45107</v>
      </c>
      <c r="C313" s="328" t="s">
        <v>948</v>
      </c>
      <c r="D313" s="329" t="s">
        <v>685</v>
      </c>
      <c r="E313" s="255" t="s">
        <v>954</v>
      </c>
      <c r="F313" s="330" t="s">
        <v>795</v>
      </c>
      <c r="G313" s="118">
        <v>66.67</v>
      </c>
      <c r="H313" s="328" t="s">
        <v>1307</v>
      </c>
    </row>
    <row r="314" spans="1:8" s="255" customFormat="1">
      <c r="A314" s="326">
        <f t="shared" si="4"/>
        <v>305</v>
      </c>
      <c r="B314" s="327">
        <v>45107</v>
      </c>
      <c r="C314" s="328" t="s">
        <v>948</v>
      </c>
      <c r="D314" s="329" t="s">
        <v>685</v>
      </c>
      <c r="E314" s="255" t="s">
        <v>851</v>
      </c>
      <c r="F314" s="328" t="s">
        <v>795</v>
      </c>
      <c r="G314" s="118">
        <v>228.47</v>
      </c>
      <c r="H314" s="328" t="s">
        <v>1307</v>
      </c>
    </row>
    <row r="315" spans="1:8" s="255" customFormat="1">
      <c r="A315" s="326">
        <f t="shared" si="4"/>
        <v>306</v>
      </c>
      <c r="B315" s="327">
        <v>45107</v>
      </c>
      <c r="C315" s="328" t="s">
        <v>907</v>
      </c>
      <c r="D315" s="328" t="s">
        <v>685</v>
      </c>
      <c r="E315" s="255" t="s">
        <v>1135</v>
      </c>
      <c r="F315" s="330" t="s">
        <v>795</v>
      </c>
      <c r="G315" s="118">
        <v>203.99</v>
      </c>
      <c r="H315" s="328" t="s">
        <v>1308</v>
      </c>
    </row>
    <row r="316" spans="1:8" s="255" customFormat="1">
      <c r="A316" s="326">
        <f t="shared" si="4"/>
        <v>307</v>
      </c>
      <c r="B316" s="327">
        <v>45107</v>
      </c>
      <c r="C316" s="328" t="s">
        <v>948</v>
      </c>
      <c r="D316" s="329" t="s">
        <v>685</v>
      </c>
      <c r="E316" s="328" t="s">
        <v>1137</v>
      </c>
      <c r="F316" s="330" t="s">
        <v>795</v>
      </c>
      <c r="G316" s="116">
        <v>145.81</v>
      </c>
      <c r="H316" s="328" t="s">
        <v>1307</v>
      </c>
    </row>
    <row r="317" spans="1:8" s="255" customFormat="1">
      <c r="A317" s="326">
        <f t="shared" si="4"/>
        <v>308</v>
      </c>
      <c r="B317" s="327">
        <v>45107</v>
      </c>
      <c r="C317" s="328" t="s">
        <v>907</v>
      </c>
      <c r="D317" s="328" t="s">
        <v>685</v>
      </c>
      <c r="E317" s="328" t="s">
        <v>1138</v>
      </c>
      <c r="F317" s="330" t="s">
        <v>795</v>
      </c>
      <c r="G317" s="116">
        <v>43.8</v>
      </c>
      <c r="H317" s="328" t="s">
        <v>1307</v>
      </c>
    </row>
    <row r="318" spans="1:8" s="255" customFormat="1">
      <c r="A318" s="326">
        <f t="shared" si="4"/>
        <v>309</v>
      </c>
      <c r="B318" s="327">
        <v>45107</v>
      </c>
      <c r="C318" s="328" t="s">
        <v>948</v>
      </c>
      <c r="D318" s="328" t="s">
        <v>685</v>
      </c>
      <c r="E318" s="328" t="s">
        <v>955</v>
      </c>
      <c r="F318" s="330" t="s">
        <v>609</v>
      </c>
      <c r="G318" s="118">
        <v>2736.18</v>
      </c>
      <c r="H318" s="328" t="s">
        <v>1307</v>
      </c>
    </row>
    <row r="319" spans="1:8" s="255" customFormat="1">
      <c r="A319" s="326">
        <f t="shared" si="4"/>
        <v>310</v>
      </c>
      <c r="B319" s="327">
        <v>45107</v>
      </c>
      <c r="C319" s="328" t="s">
        <v>948</v>
      </c>
      <c r="D319" s="329" t="s">
        <v>685</v>
      </c>
      <c r="E319" s="328" t="s">
        <v>956</v>
      </c>
      <c r="F319" s="328" t="s">
        <v>609</v>
      </c>
      <c r="G319" s="118">
        <v>141.19</v>
      </c>
      <c r="H319" s="328" t="s">
        <v>1307</v>
      </c>
    </row>
    <row r="320" spans="1:8" s="255" customFormat="1">
      <c r="A320" s="326">
        <f t="shared" si="4"/>
        <v>311</v>
      </c>
      <c r="B320" s="327">
        <v>45107</v>
      </c>
      <c r="C320" s="328" t="s">
        <v>907</v>
      </c>
      <c r="D320" s="328" t="s">
        <v>685</v>
      </c>
      <c r="E320" s="328" t="s">
        <v>991</v>
      </c>
      <c r="F320" s="330" t="s">
        <v>795</v>
      </c>
      <c r="G320" s="118">
        <v>66.67</v>
      </c>
      <c r="H320" s="328" t="s">
        <v>1307</v>
      </c>
    </row>
    <row r="321" spans="1:8" s="255" customFormat="1">
      <c r="A321" s="326">
        <f t="shared" si="4"/>
        <v>312</v>
      </c>
      <c r="B321" s="327">
        <v>45107</v>
      </c>
      <c r="C321" s="328" t="s">
        <v>948</v>
      </c>
      <c r="D321" s="329" t="s">
        <v>685</v>
      </c>
      <c r="E321" s="255" t="s">
        <v>1168</v>
      </c>
      <c r="F321" s="330" t="s">
        <v>795</v>
      </c>
      <c r="G321" s="118">
        <v>153</v>
      </c>
      <c r="H321" s="328" t="s">
        <v>1307</v>
      </c>
    </row>
    <row r="322" spans="1:8" s="255" customFormat="1">
      <c r="A322" s="326">
        <f t="shared" si="4"/>
        <v>313</v>
      </c>
      <c r="B322" s="327">
        <v>45107</v>
      </c>
      <c r="C322" s="328" t="s">
        <v>948</v>
      </c>
      <c r="D322" s="328" t="s">
        <v>685</v>
      </c>
      <c r="E322" s="328" t="s">
        <v>1311</v>
      </c>
      <c r="F322" s="328" t="s">
        <v>609</v>
      </c>
      <c r="G322" s="118">
        <v>3537.38</v>
      </c>
      <c r="H322" s="328" t="s">
        <v>1307</v>
      </c>
    </row>
    <row r="323" spans="1:8" s="255" customFormat="1">
      <c r="A323" s="326">
        <f t="shared" si="4"/>
        <v>314</v>
      </c>
      <c r="B323" s="327">
        <v>45107</v>
      </c>
      <c r="C323" s="328" t="s">
        <v>948</v>
      </c>
      <c r="D323" s="329" t="s">
        <v>685</v>
      </c>
      <c r="E323" s="255" t="s">
        <v>1026</v>
      </c>
      <c r="F323" s="330" t="s">
        <v>794</v>
      </c>
      <c r="G323" s="118">
        <v>747.76</v>
      </c>
      <c r="H323" s="328" t="s">
        <v>1307</v>
      </c>
    </row>
    <row r="324" spans="1:8" s="255" customFormat="1">
      <c r="A324" s="326">
        <f t="shared" si="4"/>
        <v>315</v>
      </c>
      <c r="B324" s="327">
        <v>45107</v>
      </c>
      <c r="C324" s="328" t="s">
        <v>948</v>
      </c>
      <c r="D324" s="328" t="s">
        <v>685</v>
      </c>
      <c r="E324" s="328" t="s">
        <v>1133</v>
      </c>
      <c r="F324" s="330" t="s">
        <v>795</v>
      </c>
      <c r="G324" s="118">
        <v>1033</v>
      </c>
      <c r="H324" s="328" t="s">
        <v>1307</v>
      </c>
    </row>
    <row r="325" spans="1:8" s="255" customFormat="1">
      <c r="A325" s="326">
        <f t="shared" si="4"/>
        <v>316</v>
      </c>
      <c r="B325" s="327">
        <v>45107</v>
      </c>
      <c r="C325" s="328" t="s">
        <v>948</v>
      </c>
      <c r="D325" s="329" t="s">
        <v>685</v>
      </c>
      <c r="E325" s="328" t="s">
        <v>1169</v>
      </c>
      <c r="F325" s="328" t="s">
        <v>609</v>
      </c>
      <c r="G325" s="116">
        <v>440</v>
      </c>
      <c r="H325" s="328" t="s">
        <v>1307</v>
      </c>
    </row>
    <row r="326" spans="1:8" s="255" customFormat="1">
      <c r="A326" s="326">
        <f t="shared" si="4"/>
        <v>317</v>
      </c>
      <c r="B326" s="327">
        <v>45107</v>
      </c>
      <c r="C326" s="328" t="s">
        <v>948</v>
      </c>
      <c r="D326" s="329" t="s">
        <v>685</v>
      </c>
      <c r="E326" s="255" t="s">
        <v>1020</v>
      </c>
      <c r="F326" s="328" t="s">
        <v>794</v>
      </c>
      <c r="G326" s="118">
        <v>450</v>
      </c>
      <c r="H326" s="328" t="s">
        <v>1307</v>
      </c>
    </row>
    <row r="327" spans="1:8" s="255" customFormat="1">
      <c r="A327" s="326">
        <f t="shared" si="4"/>
        <v>318</v>
      </c>
      <c r="B327" s="327">
        <v>45138</v>
      </c>
      <c r="C327" s="328" t="s">
        <v>907</v>
      </c>
      <c r="D327" s="328" t="s">
        <v>9</v>
      </c>
      <c r="E327" s="328" t="s">
        <v>1022</v>
      </c>
      <c r="F327" s="330" t="s">
        <v>795</v>
      </c>
      <c r="G327" s="118">
        <v>50</v>
      </c>
      <c r="H327" s="328" t="s">
        <v>1307</v>
      </c>
    </row>
    <row r="328" spans="1:8" s="255" customFormat="1">
      <c r="A328" s="326">
        <f t="shared" si="4"/>
        <v>319</v>
      </c>
      <c r="B328" s="327">
        <v>45138</v>
      </c>
      <c r="C328" s="328" t="s">
        <v>907</v>
      </c>
      <c r="D328" s="328" t="s">
        <v>9</v>
      </c>
      <c r="E328" s="328" t="s">
        <v>1022</v>
      </c>
      <c r="F328" s="330" t="s">
        <v>795</v>
      </c>
      <c r="G328" s="116">
        <v>100</v>
      </c>
      <c r="H328" s="328" t="s">
        <v>1307</v>
      </c>
    </row>
    <row r="329" spans="1:8" s="255" customFormat="1">
      <c r="A329" s="326">
        <f t="shared" si="4"/>
        <v>320</v>
      </c>
      <c r="B329" s="327">
        <v>45138</v>
      </c>
      <c r="C329" s="328" t="s">
        <v>948</v>
      </c>
      <c r="D329" s="329" t="s">
        <v>9</v>
      </c>
      <c r="E329" s="328" t="s">
        <v>1139</v>
      </c>
      <c r="F329" s="328" t="s">
        <v>795</v>
      </c>
      <c r="G329" s="118">
        <v>42.92</v>
      </c>
      <c r="H329" s="328" t="s">
        <v>1307</v>
      </c>
    </row>
    <row r="330" spans="1:8" s="255" customFormat="1">
      <c r="A330" s="326">
        <f t="shared" si="4"/>
        <v>321</v>
      </c>
      <c r="B330" s="327">
        <v>45138</v>
      </c>
      <c r="C330" s="328" t="s">
        <v>907</v>
      </c>
      <c r="D330" s="328" t="s">
        <v>9</v>
      </c>
      <c r="E330" s="328" t="s">
        <v>1313</v>
      </c>
      <c r="F330" s="330" t="s">
        <v>795</v>
      </c>
      <c r="G330" s="118">
        <v>583.33000000000004</v>
      </c>
      <c r="H330" s="328" t="s">
        <v>1307</v>
      </c>
    </row>
    <row r="331" spans="1:8" s="255" customFormat="1">
      <c r="A331" s="326">
        <f t="shared" si="4"/>
        <v>322</v>
      </c>
      <c r="B331" s="327">
        <v>45138</v>
      </c>
      <c r="C331" s="328" t="s">
        <v>907</v>
      </c>
      <c r="D331" s="328" t="s">
        <v>9</v>
      </c>
      <c r="E331" s="328" t="s">
        <v>897</v>
      </c>
      <c r="F331" s="330" t="s">
        <v>795</v>
      </c>
      <c r="G331" s="116">
        <v>625</v>
      </c>
      <c r="H331" s="328" t="s">
        <v>1307</v>
      </c>
    </row>
    <row r="332" spans="1:8" s="255" customFormat="1">
      <c r="A332" s="326">
        <f t="shared" ref="A332:A395" si="5">A331+1</f>
        <v>323</v>
      </c>
      <c r="B332" s="327">
        <v>45138</v>
      </c>
      <c r="C332" s="328" t="s">
        <v>907</v>
      </c>
      <c r="D332" s="328" t="s">
        <v>9</v>
      </c>
      <c r="E332" s="328" t="s">
        <v>897</v>
      </c>
      <c r="F332" s="330" t="s">
        <v>795</v>
      </c>
      <c r="G332" s="116">
        <v>-750</v>
      </c>
      <c r="H332" s="328" t="s">
        <v>1317</v>
      </c>
    </row>
    <row r="333" spans="1:8" s="255" customFormat="1">
      <c r="A333" s="326">
        <f t="shared" si="5"/>
        <v>324</v>
      </c>
      <c r="B333" s="327">
        <v>45138</v>
      </c>
      <c r="C333" s="328" t="s">
        <v>948</v>
      </c>
      <c r="D333" s="328" t="s">
        <v>9</v>
      </c>
      <c r="E333" s="328" t="s">
        <v>1312</v>
      </c>
      <c r="F333" s="330" t="s">
        <v>609</v>
      </c>
      <c r="G333" s="118">
        <v>1000</v>
      </c>
      <c r="H333" s="328" t="s">
        <v>1307</v>
      </c>
    </row>
    <row r="334" spans="1:8" s="255" customFormat="1">
      <c r="A334" s="326">
        <f t="shared" si="5"/>
        <v>325</v>
      </c>
      <c r="B334" s="327">
        <v>45138</v>
      </c>
      <c r="C334" s="328" t="s">
        <v>948</v>
      </c>
      <c r="D334" s="329" t="s">
        <v>9</v>
      </c>
      <c r="E334" s="328" t="s">
        <v>1171</v>
      </c>
      <c r="F334" s="328" t="s">
        <v>794</v>
      </c>
      <c r="G334" s="118">
        <v>166.67</v>
      </c>
      <c r="H334" s="328" t="s">
        <v>1307</v>
      </c>
    </row>
    <row r="335" spans="1:8" s="255" customFormat="1">
      <c r="A335" s="326">
        <f t="shared" si="5"/>
        <v>326</v>
      </c>
      <c r="B335" s="327">
        <v>45138</v>
      </c>
      <c r="C335" s="328" t="s">
        <v>948</v>
      </c>
      <c r="D335" s="328" t="s">
        <v>9</v>
      </c>
      <c r="E335" s="328" t="s">
        <v>1132</v>
      </c>
      <c r="F335" s="330" t="s">
        <v>795</v>
      </c>
      <c r="G335" s="118">
        <v>493</v>
      </c>
      <c r="H335" s="328" t="s">
        <v>1307</v>
      </c>
    </row>
    <row r="336" spans="1:8" s="255" customFormat="1">
      <c r="A336" s="326">
        <f t="shared" si="5"/>
        <v>327</v>
      </c>
      <c r="B336" s="327">
        <v>45138</v>
      </c>
      <c r="C336" s="328" t="s">
        <v>948</v>
      </c>
      <c r="D336" s="328" t="s">
        <v>9</v>
      </c>
      <c r="E336" s="328" t="s">
        <v>987</v>
      </c>
      <c r="F336" s="328" t="s">
        <v>570</v>
      </c>
      <c r="G336" s="116">
        <v>1002</v>
      </c>
      <c r="H336" s="328" t="s">
        <v>1307</v>
      </c>
    </row>
    <row r="337" spans="1:8" s="255" customFormat="1">
      <c r="A337" s="326">
        <f t="shared" si="5"/>
        <v>328</v>
      </c>
      <c r="B337" s="327">
        <v>45138</v>
      </c>
      <c r="C337" s="328" t="s">
        <v>948</v>
      </c>
      <c r="D337" s="329" t="s">
        <v>9</v>
      </c>
      <c r="E337" s="255" t="s">
        <v>1130</v>
      </c>
      <c r="F337" s="330" t="s">
        <v>795</v>
      </c>
      <c r="G337" s="118">
        <v>45.53</v>
      </c>
      <c r="H337" s="328" t="s">
        <v>1307</v>
      </c>
    </row>
    <row r="338" spans="1:8" s="255" customFormat="1">
      <c r="A338" s="326">
        <f t="shared" si="5"/>
        <v>329</v>
      </c>
      <c r="B338" s="327">
        <v>45138</v>
      </c>
      <c r="C338" s="328" t="s">
        <v>907</v>
      </c>
      <c r="D338" s="328" t="s">
        <v>9</v>
      </c>
      <c r="E338" s="328" t="s">
        <v>1314</v>
      </c>
      <c r="F338" s="330" t="s">
        <v>795</v>
      </c>
      <c r="G338" s="116">
        <v>62.5</v>
      </c>
      <c r="H338" s="328" t="s">
        <v>1307</v>
      </c>
    </row>
    <row r="339" spans="1:8" s="255" customFormat="1">
      <c r="A339" s="326">
        <f t="shared" si="5"/>
        <v>330</v>
      </c>
      <c r="B339" s="327">
        <v>45138</v>
      </c>
      <c r="C339" s="328" t="s">
        <v>948</v>
      </c>
      <c r="D339" s="329" t="s">
        <v>9</v>
      </c>
      <c r="E339" s="255" t="s">
        <v>1318</v>
      </c>
      <c r="F339" s="328" t="s">
        <v>795</v>
      </c>
      <c r="G339" s="118">
        <v>100</v>
      </c>
      <c r="H339" s="328" t="s">
        <v>1308</v>
      </c>
    </row>
    <row r="340" spans="1:8" s="255" customFormat="1">
      <c r="A340" s="326">
        <f t="shared" si="5"/>
        <v>331</v>
      </c>
      <c r="B340" s="327">
        <v>45138</v>
      </c>
      <c r="C340" s="328" t="s">
        <v>907</v>
      </c>
      <c r="D340" s="328" t="s">
        <v>9</v>
      </c>
      <c r="E340" s="328" t="s">
        <v>1015</v>
      </c>
      <c r="F340" s="330" t="s">
        <v>795</v>
      </c>
      <c r="G340" s="116">
        <v>75</v>
      </c>
      <c r="H340" s="328" t="s">
        <v>1307</v>
      </c>
    </row>
    <row r="341" spans="1:8" s="255" customFormat="1">
      <c r="A341" s="326">
        <f t="shared" si="5"/>
        <v>332</v>
      </c>
      <c r="B341" s="327">
        <v>45138</v>
      </c>
      <c r="C341" s="328" t="s">
        <v>948</v>
      </c>
      <c r="D341" s="329" t="s">
        <v>9</v>
      </c>
      <c r="E341" s="328" t="s">
        <v>870</v>
      </c>
      <c r="F341" s="330" t="s">
        <v>795</v>
      </c>
      <c r="G341" s="118">
        <v>41.67</v>
      </c>
      <c r="H341" s="328" t="s">
        <v>1307</v>
      </c>
    </row>
    <row r="342" spans="1:8" s="255" customFormat="1">
      <c r="A342" s="326">
        <f t="shared" si="5"/>
        <v>333</v>
      </c>
      <c r="B342" s="327">
        <v>45138</v>
      </c>
      <c r="C342" s="328" t="s">
        <v>948</v>
      </c>
      <c r="D342" s="329" t="s">
        <v>9</v>
      </c>
      <c r="E342" s="328" t="s">
        <v>852</v>
      </c>
      <c r="F342" s="330" t="s">
        <v>570</v>
      </c>
      <c r="G342" s="116">
        <v>41.67</v>
      </c>
      <c r="H342" s="328" t="s">
        <v>1307</v>
      </c>
    </row>
    <row r="343" spans="1:8" s="255" customFormat="1">
      <c r="A343" s="326">
        <f t="shared" si="5"/>
        <v>334</v>
      </c>
      <c r="B343" s="327">
        <v>45138</v>
      </c>
      <c r="C343" s="328" t="s">
        <v>948</v>
      </c>
      <c r="D343" s="329" t="s">
        <v>9</v>
      </c>
      <c r="E343" s="328" t="s">
        <v>949</v>
      </c>
      <c r="F343" s="330" t="s">
        <v>609</v>
      </c>
      <c r="G343" s="116">
        <v>179.17</v>
      </c>
      <c r="H343" s="328" t="s">
        <v>1307</v>
      </c>
    </row>
    <row r="344" spans="1:8" s="255" customFormat="1">
      <c r="A344" s="326">
        <f t="shared" si="5"/>
        <v>335</v>
      </c>
      <c r="B344" s="327">
        <v>45138</v>
      </c>
      <c r="C344" s="328" t="s">
        <v>948</v>
      </c>
      <c r="D344" s="329" t="s">
        <v>9</v>
      </c>
      <c r="E344" s="328" t="s">
        <v>909</v>
      </c>
      <c r="F344" s="328" t="s">
        <v>570</v>
      </c>
      <c r="G344" s="116">
        <v>52.78</v>
      </c>
      <c r="H344" s="328" t="s">
        <v>1307</v>
      </c>
    </row>
    <row r="345" spans="1:8" s="255" customFormat="1">
      <c r="A345" s="326">
        <f t="shared" si="5"/>
        <v>336</v>
      </c>
      <c r="B345" s="327">
        <v>45138</v>
      </c>
      <c r="C345" s="328" t="s">
        <v>948</v>
      </c>
      <c r="D345" s="329" t="s">
        <v>9</v>
      </c>
      <c r="E345" s="328" t="s">
        <v>1025</v>
      </c>
      <c r="F345" s="328" t="s">
        <v>609</v>
      </c>
      <c r="G345" s="116">
        <v>41.67</v>
      </c>
      <c r="H345" s="328" t="s">
        <v>1307</v>
      </c>
    </row>
    <row r="346" spans="1:8" s="255" customFormat="1">
      <c r="A346" s="326">
        <f t="shared" si="5"/>
        <v>337</v>
      </c>
      <c r="B346" s="327">
        <v>45138</v>
      </c>
      <c r="C346" s="328" t="s">
        <v>948</v>
      </c>
      <c r="D346" s="329" t="s">
        <v>9</v>
      </c>
      <c r="E346" s="255" t="s">
        <v>1023</v>
      </c>
      <c r="F346" s="328" t="s">
        <v>795</v>
      </c>
      <c r="G346" s="118">
        <v>45.53</v>
      </c>
      <c r="H346" s="328" t="s">
        <v>1307</v>
      </c>
    </row>
    <row r="347" spans="1:8" s="255" customFormat="1">
      <c r="A347" s="326">
        <f t="shared" si="5"/>
        <v>338</v>
      </c>
      <c r="B347" s="327">
        <v>45138</v>
      </c>
      <c r="C347" s="328" t="s">
        <v>948</v>
      </c>
      <c r="D347" s="329" t="s">
        <v>9</v>
      </c>
      <c r="E347" s="255" t="s">
        <v>1023</v>
      </c>
      <c r="F347" s="330" t="s">
        <v>570</v>
      </c>
      <c r="G347" s="118">
        <v>45.53</v>
      </c>
      <c r="H347" s="328" t="s">
        <v>1307</v>
      </c>
    </row>
    <row r="348" spans="1:8" s="255" customFormat="1">
      <c r="A348" s="326">
        <f t="shared" si="5"/>
        <v>339</v>
      </c>
      <c r="B348" s="327">
        <v>45138</v>
      </c>
      <c r="C348" s="328" t="s">
        <v>948</v>
      </c>
      <c r="D348" s="329" t="s">
        <v>9</v>
      </c>
      <c r="E348" s="328" t="s">
        <v>950</v>
      </c>
      <c r="F348" s="328" t="s">
        <v>570</v>
      </c>
      <c r="G348" s="118">
        <v>166.67</v>
      </c>
      <c r="H348" s="328" t="s">
        <v>1307</v>
      </c>
    </row>
    <row r="349" spans="1:8" s="255" customFormat="1">
      <c r="A349" s="326">
        <f t="shared" si="5"/>
        <v>340</v>
      </c>
      <c r="B349" s="327">
        <v>45138</v>
      </c>
      <c r="C349" s="328" t="s">
        <v>948</v>
      </c>
      <c r="D349" s="329" t="s">
        <v>9</v>
      </c>
      <c r="E349" s="255" t="s">
        <v>950</v>
      </c>
      <c r="F349" s="330" t="s">
        <v>609</v>
      </c>
      <c r="G349" s="118">
        <v>150</v>
      </c>
      <c r="H349" s="328" t="s">
        <v>1307</v>
      </c>
    </row>
    <row r="350" spans="1:8" s="255" customFormat="1">
      <c r="A350" s="326">
        <f t="shared" si="5"/>
        <v>341</v>
      </c>
      <c r="B350" s="327">
        <v>45138</v>
      </c>
      <c r="C350" s="328" t="s">
        <v>948</v>
      </c>
      <c r="D350" s="329" t="s">
        <v>9</v>
      </c>
      <c r="E350" s="255" t="s">
        <v>950</v>
      </c>
      <c r="F350" s="328" t="s">
        <v>609</v>
      </c>
      <c r="G350" s="118">
        <v>154.79</v>
      </c>
      <c r="H350" s="328" t="s">
        <v>1307</v>
      </c>
    </row>
    <row r="351" spans="1:8" s="255" customFormat="1">
      <c r="A351" s="326">
        <f t="shared" si="5"/>
        <v>342</v>
      </c>
      <c r="B351" s="327">
        <v>45138</v>
      </c>
      <c r="C351" s="328" t="s">
        <v>948</v>
      </c>
      <c r="D351" s="329" t="s">
        <v>9</v>
      </c>
      <c r="E351" s="328" t="s">
        <v>950</v>
      </c>
      <c r="F351" s="328" t="s">
        <v>609</v>
      </c>
      <c r="G351" s="116">
        <v>267.57</v>
      </c>
      <c r="H351" s="328" t="s">
        <v>1307</v>
      </c>
    </row>
    <row r="352" spans="1:8" s="255" customFormat="1">
      <c r="A352" s="326">
        <f t="shared" si="5"/>
        <v>343</v>
      </c>
      <c r="B352" s="327">
        <v>45138</v>
      </c>
      <c r="C352" s="328" t="s">
        <v>948</v>
      </c>
      <c r="D352" s="329" t="s">
        <v>9</v>
      </c>
      <c r="E352" s="328" t="s">
        <v>951</v>
      </c>
      <c r="F352" s="330" t="s">
        <v>570</v>
      </c>
      <c r="G352" s="116">
        <v>1990.11</v>
      </c>
      <c r="H352" s="328" t="s">
        <v>1307</v>
      </c>
    </row>
    <row r="353" spans="1:8" s="255" customFormat="1">
      <c r="A353" s="326">
        <f t="shared" si="5"/>
        <v>344</v>
      </c>
      <c r="B353" s="327">
        <v>45138</v>
      </c>
      <c r="C353" s="328" t="s">
        <v>948</v>
      </c>
      <c r="D353" s="329" t="s">
        <v>9</v>
      </c>
      <c r="E353" s="328" t="s">
        <v>952</v>
      </c>
      <c r="F353" s="328" t="s">
        <v>794</v>
      </c>
      <c r="G353" s="118">
        <v>953.64</v>
      </c>
      <c r="H353" s="328" t="s">
        <v>1307</v>
      </c>
    </row>
    <row r="354" spans="1:8" s="255" customFormat="1">
      <c r="A354" s="326">
        <f t="shared" si="5"/>
        <v>345</v>
      </c>
      <c r="B354" s="327">
        <v>45138</v>
      </c>
      <c r="C354" s="328" t="s">
        <v>948</v>
      </c>
      <c r="D354" s="328" t="s">
        <v>9</v>
      </c>
      <c r="E354" s="328" t="s">
        <v>1129</v>
      </c>
      <c r="F354" s="328" t="s">
        <v>609</v>
      </c>
      <c r="G354" s="116">
        <v>939</v>
      </c>
      <c r="H354" s="328" t="s">
        <v>1307</v>
      </c>
    </row>
    <row r="355" spans="1:8" s="255" customFormat="1">
      <c r="A355" s="326">
        <f t="shared" si="5"/>
        <v>346</v>
      </c>
      <c r="B355" s="327">
        <v>45138</v>
      </c>
      <c r="C355" s="328" t="s">
        <v>948</v>
      </c>
      <c r="D355" s="328" t="s">
        <v>9</v>
      </c>
      <c r="E355" s="328" t="s">
        <v>945</v>
      </c>
      <c r="F355" s="330" t="s">
        <v>795</v>
      </c>
      <c r="G355" s="116">
        <v>877</v>
      </c>
      <c r="H355" s="328" t="s">
        <v>1307</v>
      </c>
    </row>
    <row r="356" spans="1:8" s="255" customFormat="1">
      <c r="A356" s="326">
        <f t="shared" si="5"/>
        <v>347</v>
      </c>
      <c r="B356" s="327">
        <v>45138</v>
      </c>
      <c r="C356" s="328" t="s">
        <v>948</v>
      </c>
      <c r="D356" s="329" t="s">
        <v>9</v>
      </c>
      <c r="E356" s="255" t="s">
        <v>1125</v>
      </c>
      <c r="F356" s="330" t="s">
        <v>570</v>
      </c>
      <c r="G356" s="118">
        <v>70.680000000000007</v>
      </c>
      <c r="H356" s="328" t="s">
        <v>1307</v>
      </c>
    </row>
    <row r="357" spans="1:8" s="255" customFormat="1">
      <c r="A357" s="326">
        <f t="shared" si="5"/>
        <v>348</v>
      </c>
      <c r="B357" s="327">
        <v>45138</v>
      </c>
      <c r="C357" s="328" t="s">
        <v>948</v>
      </c>
      <c r="D357" s="328" t="s">
        <v>9</v>
      </c>
      <c r="E357" s="328" t="s">
        <v>1310</v>
      </c>
      <c r="F357" s="330" t="s">
        <v>609</v>
      </c>
      <c r="G357" s="116">
        <v>2100</v>
      </c>
      <c r="H357" s="328" t="s">
        <v>1307</v>
      </c>
    </row>
    <row r="358" spans="1:8" s="255" customFormat="1">
      <c r="A358" s="326">
        <f t="shared" si="5"/>
        <v>349</v>
      </c>
      <c r="B358" s="327">
        <v>45138</v>
      </c>
      <c r="C358" s="328" t="s">
        <v>948</v>
      </c>
      <c r="D358" s="329" t="s">
        <v>9</v>
      </c>
      <c r="E358" s="255" t="s">
        <v>989</v>
      </c>
      <c r="F358" s="328" t="s">
        <v>609</v>
      </c>
      <c r="G358" s="118">
        <v>602.82000000000005</v>
      </c>
      <c r="H358" s="328" t="s">
        <v>1307</v>
      </c>
    </row>
    <row r="359" spans="1:8" s="255" customFormat="1">
      <c r="A359" s="326">
        <f t="shared" si="5"/>
        <v>350</v>
      </c>
      <c r="B359" s="327">
        <v>45138</v>
      </c>
      <c r="C359" s="328" t="s">
        <v>948</v>
      </c>
      <c r="D359" s="329" t="s">
        <v>9</v>
      </c>
      <c r="E359" s="255" t="s">
        <v>850</v>
      </c>
      <c r="F359" s="330" t="s">
        <v>609</v>
      </c>
      <c r="G359" s="118">
        <v>809.22</v>
      </c>
      <c r="H359" s="328" t="s">
        <v>1307</v>
      </c>
    </row>
    <row r="360" spans="1:8" s="255" customFormat="1">
      <c r="A360" s="326">
        <f t="shared" si="5"/>
        <v>351</v>
      </c>
      <c r="B360" s="327">
        <v>45138</v>
      </c>
      <c r="C360" s="328" t="s">
        <v>948</v>
      </c>
      <c r="D360" s="329" t="s">
        <v>9</v>
      </c>
      <c r="E360" s="328" t="s">
        <v>1172</v>
      </c>
      <c r="F360" s="330" t="s">
        <v>794</v>
      </c>
      <c r="G360" s="116">
        <v>83.33</v>
      </c>
      <c r="H360" s="328" t="s">
        <v>1307</v>
      </c>
    </row>
    <row r="361" spans="1:8" s="255" customFormat="1">
      <c r="A361" s="326">
        <f t="shared" si="5"/>
        <v>352</v>
      </c>
      <c r="B361" s="327">
        <v>45138</v>
      </c>
      <c r="C361" s="328" t="s">
        <v>948</v>
      </c>
      <c r="D361" s="329" t="s">
        <v>9</v>
      </c>
      <c r="E361" s="328" t="s">
        <v>1126</v>
      </c>
      <c r="F361" s="330" t="s">
        <v>795</v>
      </c>
      <c r="G361" s="118">
        <v>226.09</v>
      </c>
      <c r="H361" s="328" t="s">
        <v>1307</v>
      </c>
    </row>
    <row r="362" spans="1:8" s="255" customFormat="1">
      <c r="A362" s="326">
        <f t="shared" si="5"/>
        <v>353</v>
      </c>
      <c r="B362" s="327">
        <v>45138</v>
      </c>
      <c r="C362" s="328" t="s">
        <v>948</v>
      </c>
      <c r="D362" s="329" t="s">
        <v>9</v>
      </c>
      <c r="E362" s="328" t="s">
        <v>1024</v>
      </c>
      <c r="F362" s="328" t="s">
        <v>609</v>
      </c>
      <c r="G362" s="118">
        <v>45.53</v>
      </c>
      <c r="H362" s="328" t="s">
        <v>1307</v>
      </c>
    </row>
    <row r="363" spans="1:8" s="255" customFormat="1">
      <c r="A363" s="326">
        <f t="shared" si="5"/>
        <v>354</v>
      </c>
      <c r="B363" s="327">
        <v>45138</v>
      </c>
      <c r="C363" s="328" t="s">
        <v>907</v>
      </c>
      <c r="D363" s="328" t="s">
        <v>9</v>
      </c>
      <c r="E363" s="328" t="s">
        <v>1127</v>
      </c>
      <c r="F363" s="330" t="s">
        <v>795</v>
      </c>
      <c r="G363" s="116">
        <v>58.33</v>
      </c>
      <c r="H363" s="328" t="s">
        <v>1307</v>
      </c>
    </row>
    <row r="364" spans="1:8" s="255" customFormat="1">
      <c r="A364" s="326">
        <f t="shared" si="5"/>
        <v>355</v>
      </c>
      <c r="B364" s="327">
        <v>45138</v>
      </c>
      <c r="C364" s="328" t="s">
        <v>948</v>
      </c>
      <c r="D364" s="329" t="s">
        <v>9</v>
      </c>
      <c r="E364" s="255" t="s">
        <v>1018</v>
      </c>
      <c r="F364" s="330" t="s">
        <v>609</v>
      </c>
      <c r="G364" s="118">
        <v>41.67</v>
      </c>
      <c r="H364" s="328" t="s">
        <v>1307</v>
      </c>
    </row>
    <row r="365" spans="1:8" s="255" customFormat="1">
      <c r="A365" s="326">
        <f t="shared" si="5"/>
        <v>356</v>
      </c>
      <c r="B365" s="327">
        <v>45138</v>
      </c>
      <c r="C365" s="328" t="s">
        <v>948</v>
      </c>
      <c r="D365" s="329" t="s">
        <v>9</v>
      </c>
      <c r="E365" s="255" t="s">
        <v>954</v>
      </c>
      <c r="F365" s="328" t="s">
        <v>795</v>
      </c>
      <c r="G365" s="118">
        <v>41.67</v>
      </c>
      <c r="H365" s="328" t="s">
        <v>1307</v>
      </c>
    </row>
    <row r="366" spans="1:8" s="255" customFormat="1">
      <c r="A366" s="326">
        <f t="shared" si="5"/>
        <v>357</v>
      </c>
      <c r="B366" s="327">
        <v>45138</v>
      </c>
      <c r="C366" s="328" t="s">
        <v>948</v>
      </c>
      <c r="D366" s="329" t="s">
        <v>9</v>
      </c>
      <c r="E366" s="255" t="s">
        <v>954</v>
      </c>
      <c r="F366" s="330" t="s">
        <v>795</v>
      </c>
      <c r="G366" s="118">
        <v>66.67</v>
      </c>
      <c r="H366" s="328" t="s">
        <v>1307</v>
      </c>
    </row>
    <row r="367" spans="1:8" s="255" customFormat="1">
      <c r="A367" s="326">
        <f t="shared" si="5"/>
        <v>358</v>
      </c>
      <c r="B367" s="327">
        <v>45138</v>
      </c>
      <c r="C367" s="328" t="s">
        <v>948</v>
      </c>
      <c r="D367" s="329" t="s">
        <v>9</v>
      </c>
      <c r="E367" s="328" t="s">
        <v>851</v>
      </c>
      <c r="F367" s="328" t="s">
        <v>795</v>
      </c>
      <c r="G367" s="118">
        <v>228.47</v>
      </c>
      <c r="H367" s="328" t="s">
        <v>1307</v>
      </c>
    </row>
    <row r="368" spans="1:8" s="255" customFormat="1">
      <c r="A368" s="326">
        <f t="shared" si="5"/>
        <v>359</v>
      </c>
      <c r="B368" s="327">
        <v>45138</v>
      </c>
      <c r="C368" s="328" t="s">
        <v>948</v>
      </c>
      <c r="D368" s="329" t="s">
        <v>9</v>
      </c>
      <c r="E368" s="328" t="s">
        <v>1137</v>
      </c>
      <c r="F368" s="328" t="s">
        <v>795</v>
      </c>
      <c r="G368" s="116">
        <v>145.81</v>
      </c>
      <c r="H368" s="328" t="s">
        <v>1307</v>
      </c>
    </row>
    <row r="369" spans="1:8" s="255" customFormat="1">
      <c r="A369" s="326">
        <f t="shared" si="5"/>
        <v>360</v>
      </c>
      <c r="B369" s="327">
        <v>45138</v>
      </c>
      <c r="C369" s="328" t="s">
        <v>907</v>
      </c>
      <c r="D369" s="328" t="s">
        <v>9</v>
      </c>
      <c r="E369" s="328" t="s">
        <v>1138</v>
      </c>
      <c r="F369" s="330" t="s">
        <v>795</v>
      </c>
      <c r="G369" s="118">
        <v>43.8</v>
      </c>
      <c r="H369" s="328" t="s">
        <v>1307</v>
      </c>
    </row>
    <row r="370" spans="1:8" s="255" customFormat="1">
      <c r="A370" s="326">
        <f t="shared" si="5"/>
        <v>361</v>
      </c>
      <c r="B370" s="327">
        <v>45138</v>
      </c>
      <c r="C370" s="328" t="s">
        <v>948</v>
      </c>
      <c r="D370" s="328" t="s">
        <v>9</v>
      </c>
      <c r="E370" s="328" t="s">
        <v>955</v>
      </c>
      <c r="F370" s="330" t="s">
        <v>609</v>
      </c>
      <c r="G370" s="118">
        <v>2736.18</v>
      </c>
      <c r="H370" s="328" t="s">
        <v>1307</v>
      </c>
    </row>
    <row r="371" spans="1:8" s="255" customFormat="1">
      <c r="A371" s="326">
        <f t="shared" si="5"/>
        <v>362</v>
      </c>
      <c r="B371" s="327">
        <v>45138</v>
      </c>
      <c r="C371" s="328" t="s">
        <v>948</v>
      </c>
      <c r="D371" s="329" t="s">
        <v>9</v>
      </c>
      <c r="E371" s="255" t="s">
        <v>956</v>
      </c>
      <c r="F371" s="330" t="s">
        <v>609</v>
      </c>
      <c r="G371" s="118">
        <v>141.19</v>
      </c>
      <c r="H371" s="328" t="s">
        <v>1307</v>
      </c>
    </row>
    <row r="372" spans="1:8" s="255" customFormat="1">
      <c r="A372" s="326">
        <f t="shared" si="5"/>
        <v>363</v>
      </c>
      <c r="B372" s="327">
        <v>45138</v>
      </c>
      <c r="C372" s="328" t="s">
        <v>907</v>
      </c>
      <c r="D372" s="328" t="s">
        <v>9</v>
      </c>
      <c r="E372" s="328" t="s">
        <v>991</v>
      </c>
      <c r="F372" s="330" t="s">
        <v>795</v>
      </c>
      <c r="G372" s="118">
        <v>66.67</v>
      </c>
      <c r="H372" s="328" t="s">
        <v>1307</v>
      </c>
    </row>
    <row r="373" spans="1:8" s="255" customFormat="1">
      <c r="A373" s="326">
        <f t="shared" si="5"/>
        <v>364</v>
      </c>
      <c r="B373" s="327">
        <v>45138</v>
      </c>
      <c r="C373" s="328" t="s">
        <v>948</v>
      </c>
      <c r="D373" s="329" t="s">
        <v>9</v>
      </c>
      <c r="E373" s="328" t="s">
        <v>1168</v>
      </c>
      <c r="F373" s="328" t="s">
        <v>795</v>
      </c>
      <c r="G373" s="118">
        <v>153</v>
      </c>
      <c r="H373" s="328" t="s">
        <v>1307</v>
      </c>
    </row>
    <row r="374" spans="1:8" s="255" customFormat="1">
      <c r="A374" s="326">
        <f t="shared" si="5"/>
        <v>365</v>
      </c>
      <c r="B374" s="327">
        <v>45138</v>
      </c>
      <c r="C374" s="328" t="s">
        <v>948</v>
      </c>
      <c r="D374" s="328" t="s">
        <v>9</v>
      </c>
      <c r="E374" s="328" t="s">
        <v>1311</v>
      </c>
      <c r="F374" s="328" t="s">
        <v>609</v>
      </c>
      <c r="G374" s="118">
        <v>3537.38</v>
      </c>
      <c r="H374" s="328" t="s">
        <v>1307</v>
      </c>
    </row>
    <row r="375" spans="1:8" s="255" customFormat="1">
      <c r="A375" s="326">
        <f t="shared" si="5"/>
        <v>366</v>
      </c>
      <c r="B375" s="327">
        <v>45138</v>
      </c>
      <c r="C375" s="328" t="s">
        <v>948</v>
      </c>
      <c r="D375" s="329" t="s">
        <v>9</v>
      </c>
      <c r="E375" s="328" t="s">
        <v>1026</v>
      </c>
      <c r="F375" s="330" t="s">
        <v>794</v>
      </c>
      <c r="G375" s="116">
        <v>747.78</v>
      </c>
      <c r="H375" s="328" t="s">
        <v>1307</v>
      </c>
    </row>
    <row r="376" spans="1:8" s="255" customFormat="1">
      <c r="A376" s="326">
        <f t="shared" si="5"/>
        <v>367</v>
      </c>
      <c r="B376" s="327">
        <v>45138</v>
      </c>
      <c r="C376" s="328" t="s">
        <v>948</v>
      </c>
      <c r="D376" s="328" t="s">
        <v>9</v>
      </c>
      <c r="E376" s="328" t="s">
        <v>1133</v>
      </c>
      <c r="F376" s="330" t="s">
        <v>795</v>
      </c>
      <c r="G376" s="118">
        <v>1033</v>
      </c>
      <c r="H376" s="328" t="s">
        <v>1307</v>
      </c>
    </row>
    <row r="377" spans="1:8" s="255" customFormat="1">
      <c r="A377" s="326">
        <f t="shared" si="5"/>
        <v>368</v>
      </c>
      <c r="B377" s="327">
        <v>45138</v>
      </c>
      <c r="C377" s="328" t="s">
        <v>948</v>
      </c>
      <c r="D377" s="329" t="s">
        <v>9</v>
      </c>
      <c r="E377" s="255" t="s">
        <v>1169</v>
      </c>
      <c r="F377" s="330" t="s">
        <v>609</v>
      </c>
      <c r="G377" s="118">
        <v>440</v>
      </c>
      <c r="H377" s="328" t="s">
        <v>1307</v>
      </c>
    </row>
    <row r="378" spans="1:8" s="255" customFormat="1">
      <c r="A378" s="326">
        <f t="shared" si="5"/>
        <v>369</v>
      </c>
      <c r="B378" s="327">
        <v>45138</v>
      </c>
      <c r="C378" s="328" t="s">
        <v>948</v>
      </c>
      <c r="D378" s="329" t="s">
        <v>9</v>
      </c>
      <c r="E378" s="328" t="s">
        <v>1020</v>
      </c>
      <c r="F378" s="330" t="s">
        <v>794</v>
      </c>
      <c r="G378" s="118">
        <v>450</v>
      </c>
      <c r="H378" s="328" t="s">
        <v>1307</v>
      </c>
    </row>
    <row r="379" spans="1:8" s="255" customFormat="1">
      <c r="A379" s="326">
        <f t="shared" si="5"/>
        <v>370</v>
      </c>
      <c r="B379" s="327">
        <v>45169</v>
      </c>
      <c r="C379" s="328" t="s">
        <v>907</v>
      </c>
      <c r="D379" s="328" t="s">
        <v>686</v>
      </c>
      <c r="E379" s="328" t="s">
        <v>1022</v>
      </c>
      <c r="F379" s="330" t="s">
        <v>795</v>
      </c>
      <c r="G379" s="116">
        <v>50</v>
      </c>
      <c r="H379" s="328" t="s">
        <v>1307</v>
      </c>
    </row>
    <row r="380" spans="1:8" s="255" customFormat="1">
      <c r="A380" s="326">
        <f t="shared" si="5"/>
        <v>371</v>
      </c>
      <c r="B380" s="327">
        <v>45169</v>
      </c>
      <c r="C380" s="328" t="s">
        <v>907</v>
      </c>
      <c r="D380" s="328" t="s">
        <v>686</v>
      </c>
      <c r="E380" s="255" t="s">
        <v>1022</v>
      </c>
      <c r="F380" s="330" t="s">
        <v>795</v>
      </c>
      <c r="G380" s="118">
        <v>100</v>
      </c>
      <c r="H380" s="328" t="s">
        <v>1307</v>
      </c>
    </row>
    <row r="381" spans="1:8" s="255" customFormat="1">
      <c r="A381" s="326">
        <f t="shared" si="5"/>
        <v>372</v>
      </c>
      <c r="B381" s="327">
        <v>45169</v>
      </c>
      <c r="C381" s="328" t="s">
        <v>948</v>
      </c>
      <c r="D381" s="329" t="s">
        <v>686</v>
      </c>
      <c r="E381" s="328" t="s">
        <v>1139</v>
      </c>
      <c r="F381" s="328" t="s">
        <v>795</v>
      </c>
      <c r="G381" s="116">
        <v>42.92</v>
      </c>
      <c r="H381" s="328" t="s">
        <v>1307</v>
      </c>
    </row>
    <row r="382" spans="1:8" s="255" customFormat="1">
      <c r="A382" s="326">
        <f t="shared" si="5"/>
        <v>373</v>
      </c>
      <c r="B382" s="327">
        <v>45169</v>
      </c>
      <c r="C382" s="328" t="s">
        <v>907</v>
      </c>
      <c r="D382" s="328" t="s">
        <v>686</v>
      </c>
      <c r="E382" s="255" t="s">
        <v>1313</v>
      </c>
      <c r="F382" s="330" t="s">
        <v>795</v>
      </c>
      <c r="G382" s="116">
        <v>583.33000000000004</v>
      </c>
      <c r="H382" s="328" t="s">
        <v>1307</v>
      </c>
    </row>
    <row r="383" spans="1:8" s="255" customFormat="1">
      <c r="A383" s="326">
        <f t="shared" si="5"/>
        <v>374</v>
      </c>
      <c r="B383" s="327">
        <v>45169</v>
      </c>
      <c r="C383" s="328" t="s">
        <v>948</v>
      </c>
      <c r="D383" s="328" t="s">
        <v>686</v>
      </c>
      <c r="E383" s="328" t="s">
        <v>1312</v>
      </c>
      <c r="F383" s="330" t="s">
        <v>609</v>
      </c>
      <c r="G383" s="118">
        <v>1000</v>
      </c>
      <c r="H383" s="328" t="s">
        <v>1307</v>
      </c>
    </row>
    <row r="384" spans="1:8" s="255" customFormat="1">
      <c r="A384" s="326">
        <f t="shared" si="5"/>
        <v>375</v>
      </c>
      <c r="B384" s="327">
        <v>45169</v>
      </c>
      <c r="C384" s="328" t="s">
        <v>948</v>
      </c>
      <c r="D384" s="329" t="s">
        <v>686</v>
      </c>
      <c r="E384" s="328" t="s">
        <v>1171</v>
      </c>
      <c r="F384" s="330" t="s">
        <v>794</v>
      </c>
      <c r="G384" s="118">
        <v>166.67</v>
      </c>
      <c r="H384" s="328" t="s">
        <v>1307</v>
      </c>
    </row>
    <row r="385" spans="1:8" s="255" customFormat="1">
      <c r="A385" s="326">
        <f t="shared" si="5"/>
        <v>376</v>
      </c>
      <c r="B385" s="327">
        <v>45169</v>
      </c>
      <c r="C385" s="328" t="s">
        <v>948</v>
      </c>
      <c r="D385" s="328" t="s">
        <v>686</v>
      </c>
      <c r="E385" s="328" t="s">
        <v>1132</v>
      </c>
      <c r="F385" s="330" t="s">
        <v>795</v>
      </c>
      <c r="G385" s="118">
        <v>493</v>
      </c>
      <c r="H385" s="328" t="s">
        <v>1307</v>
      </c>
    </row>
    <row r="386" spans="1:8" s="255" customFormat="1">
      <c r="A386" s="326">
        <f t="shared" si="5"/>
        <v>377</v>
      </c>
      <c r="B386" s="327">
        <v>45169</v>
      </c>
      <c r="C386" s="328" t="s">
        <v>948</v>
      </c>
      <c r="D386" s="328" t="s">
        <v>686</v>
      </c>
      <c r="E386" s="328" t="s">
        <v>987</v>
      </c>
      <c r="F386" s="328" t="s">
        <v>570</v>
      </c>
      <c r="G386" s="116">
        <v>1002</v>
      </c>
      <c r="H386" s="328" t="s">
        <v>1307</v>
      </c>
    </row>
    <row r="387" spans="1:8" s="255" customFormat="1">
      <c r="A387" s="326">
        <f t="shared" si="5"/>
        <v>378</v>
      </c>
      <c r="B387" s="327">
        <v>45169</v>
      </c>
      <c r="C387" s="328" t="s">
        <v>948</v>
      </c>
      <c r="D387" s="329" t="s">
        <v>686</v>
      </c>
      <c r="E387" s="328" t="s">
        <v>1130</v>
      </c>
      <c r="F387" s="328" t="s">
        <v>795</v>
      </c>
      <c r="G387" s="116">
        <v>45.53</v>
      </c>
      <c r="H387" s="328" t="s">
        <v>1307</v>
      </c>
    </row>
    <row r="388" spans="1:8" s="255" customFormat="1">
      <c r="A388" s="326">
        <f t="shared" si="5"/>
        <v>379</v>
      </c>
      <c r="B388" s="327">
        <v>45169</v>
      </c>
      <c r="C388" s="328" t="s">
        <v>907</v>
      </c>
      <c r="D388" s="328" t="s">
        <v>686</v>
      </c>
      <c r="E388" s="328" t="s">
        <v>1314</v>
      </c>
      <c r="F388" s="330" t="s">
        <v>795</v>
      </c>
      <c r="G388" s="118">
        <v>62.5</v>
      </c>
      <c r="H388" s="328" t="s">
        <v>1307</v>
      </c>
    </row>
    <row r="389" spans="1:8" s="255" customFormat="1">
      <c r="A389" s="326">
        <f t="shared" si="5"/>
        <v>380</v>
      </c>
      <c r="B389" s="327">
        <v>45169</v>
      </c>
      <c r="C389" s="328" t="s">
        <v>907</v>
      </c>
      <c r="D389" s="328" t="s">
        <v>686</v>
      </c>
      <c r="E389" s="255" t="s">
        <v>1015</v>
      </c>
      <c r="F389" s="330" t="s">
        <v>795</v>
      </c>
      <c r="G389" s="118">
        <v>75</v>
      </c>
      <c r="H389" s="328" t="s">
        <v>1307</v>
      </c>
    </row>
    <row r="390" spans="1:8" s="255" customFormat="1">
      <c r="A390" s="326">
        <f t="shared" si="5"/>
        <v>381</v>
      </c>
      <c r="B390" s="327">
        <v>45169</v>
      </c>
      <c r="C390" s="328" t="s">
        <v>948</v>
      </c>
      <c r="D390" s="329" t="s">
        <v>686</v>
      </c>
      <c r="E390" s="328" t="s">
        <v>870</v>
      </c>
      <c r="F390" s="330" t="s">
        <v>795</v>
      </c>
      <c r="G390" s="118">
        <v>41.67</v>
      </c>
      <c r="H390" s="328" t="s">
        <v>1307</v>
      </c>
    </row>
    <row r="391" spans="1:8" s="255" customFormat="1">
      <c r="A391" s="326">
        <f t="shared" si="5"/>
        <v>382</v>
      </c>
      <c r="B391" s="327">
        <v>45169</v>
      </c>
      <c r="C391" s="328" t="s">
        <v>948</v>
      </c>
      <c r="D391" s="329" t="s">
        <v>686</v>
      </c>
      <c r="E391" s="255" t="s">
        <v>852</v>
      </c>
      <c r="F391" s="330" t="s">
        <v>570</v>
      </c>
      <c r="G391" s="118">
        <v>41.67</v>
      </c>
      <c r="H391" s="328" t="s">
        <v>1307</v>
      </c>
    </row>
    <row r="392" spans="1:8" s="255" customFormat="1">
      <c r="A392" s="326">
        <f t="shared" si="5"/>
        <v>383</v>
      </c>
      <c r="B392" s="327">
        <v>45169</v>
      </c>
      <c r="C392" s="328" t="s">
        <v>948</v>
      </c>
      <c r="D392" s="329" t="s">
        <v>686</v>
      </c>
      <c r="E392" s="328" t="s">
        <v>949</v>
      </c>
      <c r="F392" s="330" t="s">
        <v>609</v>
      </c>
      <c r="G392" s="118">
        <v>179.17</v>
      </c>
      <c r="H392" s="328" t="s">
        <v>1307</v>
      </c>
    </row>
    <row r="393" spans="1:8" s="255" customFormat="1">
      <c r="A393" s="326">
        <f t="shared" si="5"/>
        <v>384</v>
      </c>
      <c r="B393" s="327">
        <v>45169</v>
      </c>
      <c r="C393" s="328" t="s">
        <v>948</v>
      </c>
      <c r="D393" s="329" t="s">
        <v>686</v>
      </c>
      <c r="E393" s="255" t="s">
        <v>909</v>
      </c>
      <c r="F393" s="328" t="s">
        <v>570</v>
      </c>
      <c r="G393" s="118">
        <v>52.78</v>
      </c>
      <c r="H393" s="328" t="s">
        <v>1307</v>
      </c>
    </row>
    <row r="394" spans="1:8" s="255" customFormat="1">
      <c r="A394" s="326">
        <f t="shared" si="5"/>
        <v>385</v>
      </c>
      <c r="B394" s="327">
        <v>45169</v>
      </c>
      <c r="C394" s="328" t="s">
        <v>948</v>
      </c>
      <c r="D394" s="329" t="s">
        <v>686</v>
      </c>
      <c r="E394" s="255" t="s">
        <v>1025</v>
      </c>
      <c r="F394" s="328" t="s">
        <v>609</v>
      </c>
      <c r="G394" s="118">
        <v>41.67</v>
      </c>
      <c r="H394" s="328" t="s">
        <v>1307</v>
      </c>
    </row>
    <row r="395" spans="1:8" s="255" customFormat="1">
      <c r="A395" s="326">
        <f t="shared" si="5"/>
        <v>386</v>
      </c>
      <c r="B395" s="327">
        <v>45169</v>
      </c>
      <c r="C395" s="328" t="s">
        <v>948</v>
      </c>
      <c r="D395" s="329" t="s">
        <v>686</v>
      </c>
      <c r="E395" s="328" t="s">
        <v>1023</v>
      </c>
      <c r="F395" s="330" t="s">
        <v>795</v>
      </c>
      <c r="G395" s="118">
        <v>45.53</v>
      </c>
      <c r="H395" s="328" t="s">
        <v>1307</v>
      </c>
    </row>
    <row r="396" spans="1:8" s="255" customFormat="1">
      <c r="A396" s="326">
        <f t="shared" ref="A396:A459" si="6">A395+1</f>
        <v>387</v>
      </c>
      <c r="B396" s="327">
        <v>45169</v>
      </c>
      <c r="C396" s="328" t="s">
        <v>948</v>
      </c>
      <c r="D396" s="329" t="s">
        <v>686</v>
      </c>
      <c r="E396" s="255" t="s">
        <v>1023</v>
      </c>
      <c r="F396" s="330" t="s">
        <v>570</v>
      </c>
      <c r="G396" s="118">
        <v>45.53</v>
      </c>
      <c r="H396" s="328" t="s">
        <v>1307</v>
      </c>
    </row>
    <row r="397" spans="1:8" s="255" customFormat="1">
      <c r="A397" s="326">
        <f t="shared" si="6"/>
        <v>388</v>
      </c>
      <c r="B397" s="327">
        <v>45169</v>
      </c>
      <c r="C397" s="328" t="s">
        <v>948</v>
      </c>
      <c r="D397" s="329" t="s">
        <v>686</v>
      </c>
      <c r="E397" s="328" t="s">
        <v>950</v>
      </c>
      <c r="F397" s="330" t="s">
        <v>570</v>
      </c>
      <c r="G397" s="116">
        <v>166.67</v>
      </c>
      <c r="H397" s="328" t="s">
        <v>1307</v>
      </c>
    </row>
    <row r="398" spans="1:8" s="255" customFormat="1">
      <c r="A398" s="326">
        <f t="shared" si="6"/>
        <v>389</v>
      </c>
      <c r="B398" s="327">
        <v>45169</v>
      </c>
      <c r="C398" s="328" t="s">
        <v>948</v>
      </c>
      <c r="D398" s="329" t="s">
        <v>686</v>
      </c>
      <c r="E398" s="255" t="s">
        <v>950</v>
      </c>
      <c r="F398" s="330" t="s">
        <v>609</v>
      </c>
      <c r="G398" s="118">
        <v>150</v>
      </c>
      <c r="H398" s="328" t="s">
        <v>1307</v>
      </c>
    </row>
    <row r="399" spans="1:8" s="255" customFormat="1">
      <c r="A399" s="326">
        <f t="shared" si="6"/>
        <v>390</v>
      </c>
      <c r="B399" s="327">
        <v>45169</v>
      </c>
      <c r="C399" s="328" t="s">
        <v>948</v>
      </c>
      <c r="D399" s="329" t="s">
        <v>686</v>
      </c>
      <c r="E399" s="255" t="s">
        <v>950</v>
      </c>
      <c r="F399" s="330" t="s">
        <v>609</v>
      </c>
      <c r="G399" s="118">
        <v>154.79</v>
      </c>
      <c r="H399" s="328" t="s">
        <v>1307</v>
      </c>
    </row>
    <row r="400" spans="1:8" s="255" customFormat="1">
      <c r="A400" s="326">
        <f t="shared" si="6"/>
        <v>391</v>
      </c>
      <c r="B400" s="327">
        <v>45169</v>
      </c>
      <c r="C400" s="328" t="s">
        <v>948</v>
      </c>
      <c r="D400" s="329" t="s">
        <v>686</v>
      </c>
      <c r="E400" s="328" t="s">
        <v>950</v>
      </c>
      <c r="F400" s="330" t="s">
        <v>609</v>
      </c>
      <c r="G400" s="116">
        <v>267.57</v>
      </c>
      <c r="H400" s="328" t="s">
        <v>1307</v>
      </c>
    </row>
    <row r="401" spans="1:8" s="255" customFormat="1">
      <c r="A401" s="326">
        <f t="shared" si="6"/>
        <v>392</v>
      </c>
      <c r="B401" s="327">
        <v>45169</v>
      </c>
      <c r="C401" s="328" t="s">
        <v>948</v>
      </c>
      <c r="D401" s="329" t="s">
        <v>686</v>
      </c>
      <c r="E401" s="255" t="s">
        <v>951</v>
      </c>
      <c r="F401" s="328" t="s">
        <v>570</v>
      </c>
      <c r="G401" s="118">
        <v>1990.11</v>
      </c>
      <c r="H401" s="328" t="s">
        <v>1307</v>
      </c>
    </row>
    <row r="402" spans="1:8" s="255" customFormat="1">
      <c r="A402" s="326">
        <f t="shared" si="6"/>
        <v>393</v>
      </c>
      <c r="B402" s="327">
        <v>45169</v>
      </c>
      <c r="C402" s="328" t="s">
        <v>948</v>
      </c>
      <c r="D402" s="329" t="s">
        <v>686</v>
      </c>
      <c r="E402" s="328" t="s">
        <v>952</v>
      </c>
      <c r="F402" s="328" t="s">
        <v>794</v>
      </c>
      <c r="G402" s="116">
        <v>953.64</v>
      </c>
      <c r="H402" s="328" t="s">
        <v>1307</v>
      </c>
    </row>
    <row r="403" spans="1:8" s="255" customFormat="1">
      <c r="A403" s="326">
        <f t="shared" si="6"/>
        <v>394</v>
      </c>
      <c r="B403" s="327">
        <v>45169</v>
      </c>
      <c r="C403" s="328" t="s">
        <v>948</v>
      </c>
      <c r="D403" s="328" t="s">
        <v>686</v>
      </c>
      <c r="E403" s="328" t="s">
        <v>1129</v>
      </c>
      <c r="F403" s="328" t="s">
        <v>609</v>
      </c>
      <c r="G403" s="116">
        <v>939</v>
      </c>
      <c r="H403" s="328" t="s">
        <v>1307</v>
      </c>
    </row>
    <row r="404" spans="1:8" s="255" customFormat="1">
      <c r="A404" s="326">
        <f t="shared" si="6"/>
        <v>395</v>
      </c>
      <c r="B404" s="327">
        <v>45169</v>
      </c>
      <c r="C404" s="328" t="s">
        <v>948</v>
      </c>
      <c r="D404" s="328" t="s">
        <v>686</v>
      </c>
      <c r="E404" s="328" t="s">
        <v>945</v>
      </c>
      <c r="F404" s="330" t="s">
        <v>795</v>
      </c>
      <c r="G404" s="116">
        <v>877</v>
      </c>
      <c r="H404" s="328" t="s">
        <v>1307</v>
      </c>
    </row>
    <row r="405" spans="1:8" s="255" customFormat="1">
      <c r="A405" s="326">
        <f t="shared" si="6"/>
        <v>396</v>
      </c>
      <c r="B405" s="327">
        <v>45169</v>
      </c>
      <c r="C405" s="328" t="s">
        <v>948</v>
      </c>
      <c r="D405" s="329" t="s">
        <v>686</v>
      </c>
      <c r="E405" s="255" t="s">
        <v>1125</v>
      </c>
      <c r="F405" s="328" t="s">
        <v>570</v>
      </c>
      <c r="G405" s="118">
        <v>70.680000000000007</v>
      </c>
      <c r="H405" s="328" t="s">
        <v>1307</v>
      </c>
    </row>
    <row r="406" spans="1:8" s="255" customFormat="1">
      <c r="A406" s="326">
        <f t="shared" si="6"/>
        <v>397</v>
      </c>
      <c r="B406" s="327">
        <v>45169</v>
      </c>
      <c r="C406" s="328" t="s">
        <v>948</v>
      </c>
      <c r="D406" s="328" t="s">
        <v>686</v>
      </c>
      <c r="E406" s="328" t="s">
        <v>1310</v>
      </c>
      <c r="F406" s="330" t="s">
        <v>609</v>
      </c>
      <c r="G406" s="116">
        <v>2100</v>
      </c>
      <c r="H406" s="328" t="s">
        <v>1307</v>
      </c>
    </row>
    <row r="407" spans="1:8" s="255" customFormat="1">
      <c r="A407" s="326">
        <f t="shared" si="6"/>
        <v>398</v>
      </c>
      <c r="B407" s="327">
        <v>45169</v>
      </c>
      <c r="C407" s="328" t="s">
        <v>948</v>
      </c>
      <c r="D407" s="329" t="s">
        <v>686</v>
      </c>
      <c r="E407" s="255" t="s">
        <v>989</v>
      </c>
      <c r="F407" s="328" t="s">
        <v>609</v>
      </c>
      <c r="G407" s="118">
        <v>602.82000000000005</v>
      </c>
      <c r="H407" s="328" t="s">
        <v>1307</v>
      </c>
    </row>
    <row r="408" spans="1:8" s="255" customFormat="1">
      <c r="A408" s="326">
        <f t="shared" si="6"/>
        <v>399</v>
      </c>
      <c r="B408" s="327">
        <v>45169</v>
      </c>
      <c r="C408" s="328" t="s">
        <v>948</v>
      </c>
      <c r="D408" s="329" t="s">
        <v>686</v>
      </c>
      <c r="E408" s="328" t="s">
        <v>850</v>
      </c>
      <c r="F408" s="328" t="s">
        <v>609</v>
      </c>
      <c r="G408" s="118">
        <v>809.22</v>
      </c>
      <c r="H408" s="328" t="s">
        <v>1307</v>
      </c>
    </row>
    <row r="409" spans="1:8" s="255" customFormat="1">
      <c r="A409" s="326">
        <f t="shared" si="6"/>
        <v>400</v>
      </c>
      <c r="B409" s="327">
        <v>45169</v>
      </c>
      <c r="C409" s="328" t="s">
        <v>948</v>
      </c>
      <c r="D409" s="329" t="s">
        <v>686</v>
      </c>
      <c r="E409" s="328" t="s">
        <v>1170</v>
      </c>
      <c r="F409" s="330" t="s">
        <v>570</v>
      </c>
      <c r="G409" s="118">
        <v>300</v>
      </c>
      <c r="H409" s="328" t="s">
        <v>1308</v>
      </c>
    </row>
    <row r="410" spans="1:8" s="255" customFormat="1">
      <c r="A410" s="326">
        <f t="shared" si="6"/>
        <v>401</v>
      </c>
      <c r="B410" s="327">
        <v>45169</v>
      </c>
      <c r="C410" s="328" t="s">
        <v>948</v>
      </c>
      <c r="D410" s="329" t="s">
        <v>686</v>
      </c>
      <c r="E410" s="328" t="s">
        <v>1172</v>
      </c>
      <c r="F410" s="330" t="s">
        <v>794</v>
      </c>
      <c r="G410" s="118">
        <v>83.33</v>
      </c>
      <c r="H410" s="328" t="s">
        <v>1307</v>
      </c>
    </row>
    <row r="411" spans="1:8" s="255" customFormat="1">
      <c r="A411" s="326">
        <f t="shared" si="6"/>
        <v>402</v>
      </c>
      <c r="B411" s="327">
        <v>45169</v>
      </c>
      <c r="C411" s="328" t="s">
        <v>948</v>
      </c>
      <c r="D411" s="329" t="s">
        <v>686</v>
      </c>
      <c r="E411" s="328" t="s">
        <v>1126</v>
      </c>
      <c r="F411" s="328" t="s">
        <v>795</v>
      </c>
      <c r="G411" s="116">
        <v>232.86</v>
      </c>
      <c r="H411" s="328" t="s">
        <v>1307</v>
      </c>
    </row>
    <row r="412" spans="1:8" s="255" customFormat="1">
      <c r="A412" s="326">
        <f t="shared" si="6"/>
        <v>403</v>
      </c>
      <c r="B412" s="327">
        <v>45169</v>
      </c>
      <c r="C412" s="328" t="s">
        <v>948</v>
      </c>
      <c r="D412" s="329" t="s">
        <v>686</v>
      </c>
      <c r="E412" s="328" t="s">
        <v>1024</v>
      </c>
      <c r="F412" s="328" t="s">
        <v>609</v>
      </c>
      <c r="G412" s="116">
        <v>45.53</v>
      </c>
      <c r="H412" s="328" t="s">
        <v>1307</v>
      </c>
    </row>
    <row r="413" spans="1:8" s="255" customFormat="1">
      <c r="A413" s="326">
        <f t="shared" si="6"/>
        <v>404</v>
      </c>
      <c r="B413" s="327">
        <v>45169</v>
      </c>
      <c r="C413" s="328" t="s">
        <v>907</v>
      </c>
      <c r="D413" s="328" t="s">
        <v>686</v>
      </c>
      <c r="E413" s="328" t="s">
        <v>1127</v>
      </c>
      <c r="F413" s="330" t="s">
        <v>795</v>
      </c>
      <c r="G413" s="118">
        <v>58.33</v>
      </c>
      <c r="H413" s="328" t="s">
        <v>1307</v>
      </c>
    </row>
    <row r="414" spans="1:8" s="255" customFormat="1">
      <c r="A414" s="326">
        <f t="shared" si="6"/>
        <v>405</v>
      </c>
      <c r="B414" s="327">
        <v>45169</v>
      </c>
      <c r="C414" s="328" t="s">
        <v>948</v>
      </c>
      <c r="D414" s="329" t="s">
        <v>686</v>
      </c>
      <c r="E414" s="255" t="s">
        <v>1319</v>
      </c>
      <c r="F414" s="330" t="s">
        <v>609</v>
      </c>
      <c r="G414" s="118">
        <v>1</v>
      </c>
      <c r="H414" s="328" t="s">
        <v>1308</v>
      </c>
    </row>
    <row r="415" spans="1:8" s="255" customFormat="1">
      <c r="A415" s="326">
        <f t="shared" si="6"/>
        <v>406</v>
      </c>
      <c r="B415" s="327">
        <v>45169</v>
      </c>
      <c r="C415" s="328" t="s">
        <v>948</v>
      </c>
      <c r="D415" s="329" t="s">
        <v>686</v>
      </c>
      <c r="E415" s="328" t="s">
        <v>1018</v>
      </c>
      <c r="F415" s="330" t="s">
        <v>609</v>
      </c>
      <c r="G415" s="118">
        <v>41.67</v>
      </c>
      <c r="H415" s="328" t="s">
        <v>1307</v>
      </c>
    </row>
    <row r="416" spans="1:8" s="255" customFormat="1">
      <c r="A416" s="326">
        <f t="shared" si="6"/>
        <v>407</v>
      </c>
      <c r="B416" s="327">
        <v>45169</v>
      </c>
      <c r="C416" s="328" t="s">
        <v>948</v>
      </c>
      <c r="D416" s="329" t="s">
        <v>686</v>
      </c>
      <c r="E416" s="328" t="s">
        <v>954</v>
      </c>
      <c r="F416" s="328" t="s">
        <v>795</v>
      </c>
      <c r="G416" s="116">
        <v>41.67</v>
      </c>
      <c r="H416" s="328" t="s">
        <v>1307</v>
      </c>
    </row>
    <row r="417" spans="1:8" s="255" customFormat="1">
      <c r="A417" s="326">
        <f t="shared" si="6"/>
        <v>408</v>
      </c>
      <c r="B417" s="327">
        <v>45169</v>
      </c>
      <c r="C417" s="328" t="s">
        <v>948</v>
      </c>
      <c r="D417" s="329" t="s">
        <v>686</v>
      </c>
      <c r="E417" s="328" t="s">
        <v>954</v>
      </c>
      <c r="F417" s="330" t="s">
        <v>795</v>
      </c>
      <c r="G417" s="118">
        <v>66.67</v>
      </c>
      <c r="H417" s="328" t="s">
        <v>1307</v>
      </c>
    </row>
    <row r="418" spans="1:8" s="255" customFormat="1">
      <c r="A418" s="326">
        <f t="shared" si="6"/>
        <v>409</v>
      </c>
      <c r="B418" s="327">
        <v>45169</v>
      </c>
      <c r="C418" s="328" t="s">
        <v>948</v>
      </c>
      <c r="D418" s="329" t="s">
        <v>686</v>
      </c>
      <c r="E418" s="328" t="s">
        <v>851</v>
      </c>
      <c r="F418" s="328" t="s">
        <v>795</v>
      </c>
      <c r="G418" s="116">
        <v>228.47</v>
      </c>
      <c r="H418" s="328" t="s">
        <v>1307</v>
      </c>
    </row>
    <row r="419" spans="1:8" s="255" customFormat="1">
      <c r="A419" s="326">
        <f t="shared" si="6"/>
        <v>410</v>
      </c>
      <c r="B419" s="327">
        <v>45169</v>
      </c>
      <c r="C419" s="328" t="s">
        <v>948</v>
      </c>
      <c r="D419" s="329" t="s">
        <v>686</v>
      </c>
      <c r="E419" s="328" t="s">
        <v>1137</v>
      </c>
      <c r="F419" s="328" t="s">
        <v>795</v>
      </c>
      <c r="G419" s="116">
        <v>145.81</v>
      </c>
      <c r="H419" s="328" t="s">
        <v>1307</v>
      </c>
    </row>
    <row r="420" spans="1:8" s="255" customFormat="1">
      <c r="A420" s="326">
        <f t="shared" si="6"/>
        <v>411</v>
      </c>
      <c r="B420" s="327">
        <v>45169</v>
      </c>
      <c r="C420" s="328" t="s">
        <v>907</v>
      </c>
      <c r="D420" s="328" t="s">
        <v>686</v>
      </c>
      <c r="E420" s="328" t="s">
        <v>1138</v>
      </c>
      <c r="F420" s="330" t="s">
        <v>795</v>
      </c>
      <c r="G420" s="116">
        <v>43.8</v>
      </c>
      <c r="H420" s="328" t="s">
        <v>1307</v>
      </c>
    </row>
    <row r="421" spans="1:8" s="255" customFormat="1">
      <c r="A421" s="326">
        <f t="shared" si="6"/>
        <v>412</v>
      </c>
      <c r="B421" s="327">
        <v>45169</v>
      </c>
      <c r="C421" s="328" t="s">
        <v>948</v>
      </c>
      <c r="D421" s="328" t="s">
        <v>686</v>
      </c>
      <c r="E421" s="328" t="s">
        <v>955</v>
      </c>
      <c r="F421" s="330" t="s">
        <v>609</v>
      </c>
      <c r="G421" s="118">
        <v>2736.18</v>
      </c>
      <c r="H421" s="328" t="s">
        <v>1307</v>
      </c>
    </row>
    <row r="422" spans="1:8" s="255" customFormat="1">
      <c r="A422" s="326">
        <f t="shared" si="6"/>
        <v>413</v>
      </c>
      <c r="B422" s="327">
        <v>45169</v>
      </c>
      <c r="C422" s="328" t="s">
        <v>948</v>
      </c>
      <c r="D422" s="329" t="s">
        <v>686</v>
      </c>
      <c r="E422" s="255" t="s">
        <v>956</v>
      </c>
      <c r="F422" s="330" t="s">
        <v>609</v>
      </c>
      <c r="G422" s="118">
        <v>141.19</v>
      </c>
      <c r="H422" s="328" t="s">
        <v>1307</v>
      </c>
    </row>
    <row r="423" spans="1:8" s="255" customFormat="1">
      <c r="A423" s="326">
        <f t="shared" si="6"/>
        <v>414</v>
      </c>
      <c r="B423" s="327">
        <v>45169</v>
      </c>
      <c r="C423" s="328" t="s">
        <v>907</v>
      </c>
      <c r="D423" s="328" t="s">
        <v>686</v>
      </c>
      <c r="E423" s="328" t="s">
        <v>991</v>
      </c>
      <c r="F423" s="330" t="s">
        <v>795</v>
      </c>
      <c r="G423" s="116">
        <v>66.67</v>
      </c>
      <c r="H423" s="328" t="s">
        <v>1307</v>
      </c>
    </row>
    <row r="424" spans="1:8" s="255" customFormat="1">
      <c r="A424" s="326">
        <f t="shared" si="6"/>
        <v>415</v>
      </c>
      <c r="B424" s="327">
        <v>45169</v>
      </c>
      <c r="C424" s="328" t="s">
        <v>948</v>
      </c>
      <c r="D424" s="329" t="s">
        <v>686</v>
      </c>
      <c r="E424" s="328" t="s">
        <v>1168</v>
      </c>
      <c r="F424" s="328" t="s">
        <v>795</v>
      </c>
      <c r="G424" s="118">
        <v>153</v>
      </c>
      <c r="H424" s="328" t="s">
        <v>1307</v>
      </c>
    </row>
    <row r="425" spans="1:8" s="255" customFormat="1">
      <c r="A425" s="326">
        <f t="shared" si="6"/>
        <v>416</v>
      </c>
      <c r="B425" s="327">
        <v>45169</v>
      </c>
      <c r="C425" s="328" t="s">
        <v>907</v>
      </c>
      <c r="D425" s="328" t="s">
        <v>686</v>
      </c>
      <c r="E425" s="255" t="s">
        <v>992</v>
      </c>
      <c r="F425" s="330" t="s">
        <v>795</v>
      </c>
      <c r="G425" s="118">
        <v>100</v>
      </c>
      <c r="H425" s="328" t="s">
        <v>1308</v>
      </c>
    </row>
    <row r="426" spans="1:8" s="255" customFormat="1">
      <c r="A426" s="326">
        <f t="shared" si="6"/>
        <v>417</v>
      </c>
      <c r="B426" s="327">
        <v>45169</v>
      </c>
      <c r="C426" s="328" t="s">
        <v>948</v>
      </c>
      <c r="D426" s="328" t="s">
        <v>686</v>
      </c>
      <c r="E426" s="328" t="s">
        <v>1311</v>
      </c>
      <c r="F426" s="328" t="s">
        <v>609</v>
      </c>
      <c r="G426" s="118">
        <v>3537.38</v>
      </c>
      <c r="H426" s="328" t="s">
        <v>1307</v>
      </c>
    </row>
    <row r="427" spans="1:8" s="255" customFormat="1">
      <c r="A427" s="326">
        <f t="shared" si="6"/>
        <v>418</v>
      </c>
      <c r="B427" s="327">
        <v>45169</v>
      </c>
      <c r="C427" s="328" t="s">
        <v>948</v>
      </c>
      <c r="D427" s="329" t="s">
        <v>686</v>
      </c>
      <c r="E427" s="328" t="s">
        <v>1026</v>
      </c>
      <c r="F427" s="330" t="s">
        <v>794</v>
      </c>
      <c r="G427" s="118">
        <v>747.76</v>
      </c>
      <c r="H427" s="328" t="s">
        <v>1307</v>
      </c>
    </row>
    <row r="428" spans="1:8" s="255" customFormat="1">
      <c r="A428" s="326">
        <f t="shared" si="6"/>
        <v>419</v>
      </c>
      <c r="B428" s="327">
        <v>45169</v>
      </c>
      <c r="C428" s="328" t="s">
        <v>948</v>
      </c>
      <c r="D428" s="328" t="s">
        <v>686</v>
      </c>
      <c r="E428" s="328" t="s">
        <v>1133</v>
      </c>
      <c r="F428" s="330" t="s">
        <v>795</v>
      </c>
      <c r="G428" s="118">
        <v>1033</v>
      </c>
      <c r="H428" s="328" t="s">
        <v>1307</v>
      </c>
    </row>
    <row r="429" spans="1:8" s="255" customFormat="1">
      <c r="A429" s="326">
        <f t="shared" si="6"/>
        <v>420</v>
      </c>
      <c r="B429" s="327">
        <v>45169</v>
      </c>
      <c r="C429" s="328" t="s">
        <v>948</v>
      </c>
      <c r="D429" s="329" t="s">
        <v>686</v>
      </c>
      <c r="E429" s="328" t="s">
        <v>1169</v>
      </c>
      <c r="F429" s="328" t="s">
        <v>609</v>
      </c>
      <c r="G429" s="116">
        <v>440</v>
      </c>
      <c r="H429" s="328" t="s">
        <v>1307</v>
      </c>
    </row>
    <row r="430" spans="1:8" s="255" customFormat="1">
      <c r="A430" s="326">
        <f t="shared" si="6"/>
        <v>421</v>
      </c>
      <c r="B430" s="327">
        <v>45169</v>
      </c>
      <c r="C430" s="328" t="s">
        <v>948</v>
      </c>
      <c r="D430" s="329" t="s">
        <v>686</v>
      </c>
      <c r="E430" s="328" t="s">
        <v>1020</v>
      </c>
      <c r="F430" s="330" t="s">
        <v>794</v>
      </c>
      <c r="G430" s="118">
        <v>450</v>
      </c>
      <c r="H430" s="328" t="s">
        <v>1307</v>
      </c>
    </row>
    <row r="431" spans="1:8" s="255" customFormat="1">
      <c r="A431" s="326">
        <f t="shared" si="6"/>
        <v>422</v>
      </c>
      <c r="B431" s="327">
        <v>45199</v>
      </c>
      <c r="C431" s="328" t="s">
        <v>907</v>
      </c>
      <c r="D431" s="328" t="s">
        <v>687</v>
      </c>
      <c r="E431" s="328" t="s">
        <v>1022</v>
      </c>
      <c r="F431" s="330" t="s">
        <v>795</v>
      </c>
      <c r="G431" s="118">
        <v>100</v>
      </c>
      <c r="H431" s="328" t="s">
        <v>1307</v>
      </c>
    </row>
    <row r="432" spans="1:8" s="255" customFormat="1">
      <c r="A432" s="326">
        <f t="shared" si="6"/>
        <v>423</v>
      </c>
      <c r="B432" s="327">
        <v>45199</v>
      </c>
      <c r="C432" s="328" t="s">
        <v>907</v>
      </c>
      <c r="D432" s="328" t="s">
        <v>687</v>
      </c>
      <c r="E432" s="255" t="s">
        <v>1022</v>
      </c>
      <c r="F432" s="330" t="s">
        <v>795</v>
      </c>
      <c r="G432" s="118">
        <v>50</v>
      </c>
      <c r="H432" s="328" t="s">
        <v>1307</v>
      </c>
    </row>
    <row r="433" spans="1:8" s="255" customFormat="1">
      <c r="A433" s="326">
        <f t="shared" si="6"/>
        <v>424</v>
      </c>
      <c r="B433" s="327">
        <v>45199</v>
      </c>
      <c r="C433" s="328" t="s">
        <v>948</v>
      </c>
      <c r="D433" s="329" t="s">
        <v>687</v>
      </c>
      <c r="E433" s="328" t="s">
        <v>1139</v>
      </c>
      <c r="F433" s="328" t="s">
        <v>795</v>
      </c>
      <c r="G433" s="116">
        <v>42.92</v>
      </c>
      <c r="H433" s="328" t="s">
        <v>1307</v>
      </c>
    </row>
    <row r="434" spans="1:8" s="255" customFormat="1">
      <c r="A434" s="326">
        <f t="shared" si="6"/>
        <v>425</v>
      </c>
      <c r="B434" s="327">
        <v>45199</v>
      </c>
      <c r="C434" s="328" t="s">
        <v>907</v>
      </c>
      <c r="D434" s="328" t="s">
        <v>687</v>
      </c>
      <c r="E434" s="328" t="s">
        <v>1313</v>
      </c>
      <c r="F434" s="330" t="s">
        <v>795</v>
      </c>
      <c r="G434" s="118">
        <v>583.33000000000004</v>
      </c>
      <c r="H434" s="328" t="s">
        <v>1307</v>
      </c>
    </row>
    <row r="435" spans="1:8" s="255" customFormat="1">
      <c r="A435" s="326">
        <f t="shared" si="6"/>
        <v>426</v>
      </c>
      <c r="B435" s="327">
        <v>45199</v>
      </c>
      <c r="C435" s="328" t="s">
        <v>948</v>
      </c>
      <c r="D435" s="328" t="s">
        <v>687</v>
      </c>
      <c r="E435" s="328" t="s">
        <v>1312</v>
      </c>
      <c r="F435" s="330" t="s">
        <v>609</v>
      </c>
      <c r="G435" s="118">
        <v>1000</v>
      </c>
      <c r="H435" s="328" t="s">
        <v>1307</v>
      </c>
    </row>
    <row r="436" spans="1:8" s="255" customFormat="1">
      <c r="A436" s="326">
        <f t="shared" si="6"/>
        <v>427</v>
      </c>
      <c r="B436" s="327">
        <v>45199</v>
      </c>
      <c r="C436" s="328" t="s">
        <v>948</v>
      </c>
      <c r="D436" s="329" t="s">
        <v>687</v>
      </c>
      <c r="E436" s="255" t="s">
        <v>1171</v>
      </c>
      <c r="F436" s="330" t="s">
        <v>794</v>
      </c>
      <c r="G436" s="118">
        <v>166.67</v>
      </c>
      <c r="H436" s="328" t="s">
        <v>1307</v>
      </c>
    </row>
    <row r="437" spans="1:8" s="255" customFormat="1">
      <c r="A437" s="326">
        <f t="shared" si="6"/>
        <v>428</v>
      </c>
      <c r="B437" s="327">
        <v>45199</v>
      </c>
      <c r="C437" s="328" t="s">
        <v>948</v>
      </c>
      <c r="D437" s="328" t="s">
        <v>687</v>
      </c>
      <c r="E437" s="328" t="s">
        <v>1132</v>
      </c>
      <c r="F437" s="330" t="s">
        <v>795</v>
      </c>
      <c r="G437" s="118">
        <v>493</v>
      </c>
      <c r="H437" s="328" t="s">
        <v>1307</v>
      </c>
    </row>
    <row r="438" spans="1:8" s="255" customFormat="1">
      <c r="A438" s="326">
        <f t="shared" si="6"/>
        <v>429</v>
      </c>
      <c r="B438" s="327">
        <v>45199</v>
      </c>
      <c r="C438" s="328" t="s">
        <v>948</v>
      </c>
      <c r="D438" s="328" t="s">
        <v>687</v>
      </c>
      <c r="E438" s="328" t="s">
        <v>987</v>
      </c>
      <c r="F438" s="328" t="s">
        <v>570</v>
      </c>
      <c r="G438" s="116">
        <v>1002</v>
      </c>
      <c r="H438" s="328" t="s">
        <v>1307</v>
      </c>
    </row>
    <row r="439" spans="1:8" s="255" customFormat="1">
      <c r="A439" s="326">
        <f t="shared" si="6"/>
        <v>430</v>
      </c>
      <c r="B439" s="327">
        <v>45199</v>
      </c>
      <c r="C439" s="328" t="s">
        <v>948</v>
      </c>
      <c r="D439" s="329" t="s">
        <v>687</v>
      </c>
      <c r="E439" s="328" t="s">
        <v>1130</v>
      </c>
      <c r="F439" s="328" t="s">
        <v>795</v>
      </c>
      <c r="G439" s="118">
        <v>45.53</v>
      </c>
      <c r="H439" s="328" t="s">
        <v>1307</v>
      </c>
    </row>
    <row r="440" spans="1:8" s="255" customFormat="1">
      <c r="A440" s="326">
        <f t="shared" si="6"/>
        <v>431</v>
      </c>
      <c r="B440" s="327">
        <v>45199</v>
      </c>
      <c r="C440" s="328" t="s">
        <v>907</v>
      </c>
      <c r="D440" s="328" t="s">
        <v>687</v>
      </c>
      <c r="E440" s="328" t="s">
        <v>1314</v>
      </c>
      <c r="F440" s="330" t="s">
        <v>795</v>
      </c>
      <c r="G440" s="118">
        <v>62.5</v>
      </c>
      <c r="H440" s="328" t="s">
        <v>1307</v>
      </c>
    </row>
    <row r="441" spans="1:8" s="255" customFormat="1">
      <c r="A441" s="326">
        <f t="shared" si="6"/>
        <v>432</v>
      </c>
      <c r="B441" s="327">
        <v>45199</v>
      </c>
      <c r="C441" s="328" t="s">
        <v>907</v>
      </c>
      <c r="D441" s="328" t="s">
        <v>687</v>
      </c>
      <c r="E441" s="328" t="s">
        <v>1015</v>
      </c>
      <c r="F441" s="330" t="s">
        <v>795</v>
      </c>
      <c r="G441" s="116">
        <v>75</v>
      </c>
      <c r="H441" s="328" t="s">
        <v>1307</v>
      </c>
    </row>
    <row r="442" spans="1:8" s="255" customFormat="1">
      <c r="A442" s="326">
        <f t="shared" si="6"/>
        <v>433</v>
      </c>
      <c r="B442" s="327">
        <v>45199</v>
      </c>
      <c r="C442" s="328" t="s">
        <v>948</v>
      </c>
      <c r="D442" s="329" t="s">
        <v>687</v>
      </c>
      <c r="E442" s="328" t="s">
        <v>849</v>
      </c>
      <c r="F442" s="330" t="s">
        <v>570</v>
      </c>
      <c r="G442" s="118">
        <v>100</v>
      </c>
      <c r="H442" s="328" t="s">
        <v>1308</v>
      </c>
    </row>
    <row r="443" spans="1:8" s="255" customFormat="1">
      <c r="A443" s="326">
        <f t="shared" si="6"/>
        <v>434</v>
      </c>
      <c r="B443" s="327">
        <v>45199</v>
      </c>
      <c r="C443" s="328" t="s">
        <v>948</v>
      </c>
      <c r="D443" s="329" t="s">
        <v>687</v>
      </c>
      <c r="E443" s="328" t="s">
        <v>870</v>
      </c>
      <c r="F443" s="330" t="s">
        <v>795</v>
      </c>
      <c r="G443" s="118">
        <v>41.67</v>
      </c>
      <c r="H443" s="328" t="s">
        <v>1307</v>
      </c>
    </row>
    <row r="444" spans="1:8" s="255" customFormat="1">
      <c r="A444" s="326">
        <f t="shared" si="6"/>
        <v>435</v>
      </c>
      <c r="B444" s="327">
        <v>45199</v>
      </c>
      <c r="C444" s="328" t="s">
        <v>948</v>
      </c>
      <c r="D444" s="329" t="s">
        <v>687</v>
      </c>
      <c r="E444" s="328" t="s">
        <v>852</v>
      </c>
      <c r="F444" s="328" t="s">
        <v>570</v>
      </c>
      <c r="G444" s="116">
        <v>41.64</v>
      </c>
      <c r="H444" s="328" t="s">
        <v>1307</v>
      </c>
    </row>
    <row r="445" spans="1:8" s="255" customFormat="1">
      <c r="A445" s="326">
        <f t="shared" si="6"/>
        <v>436</v>
      </c>
      <c r="B445" s="327">
        <v>45199</v>
      </c>
      <c r="C445" s="328" t="s">
        <v>948</v>
      </c>
      <c r="D445" s="329" t="s">
        <v>687</v>
      </c>
      <c r="E445" s="255" t="s">
        <v>949</v>
      </c>
      <c r="F445" s="328" t="s">
        <v>609</v>
      </c>
      <c r="G445" s="118">
        <v>179.17</v>
      </c>
      <c r="H445" s="328" t="s">
        <v>1307</v>
      </c>
    </row>
    <row r="446" spans="1:8" s="255" customFormat="1">
      <c r="A446" s="326">
        <f t="shared" si="6"/>
        <v>437</v>
      </c>
      <c r="B446" s="327">
        <v>45199</v>
      </c>
      <c r="C446" s="328" t="s">
        <v>948</v>
      </c>
      <c r="D446" s="329" t="s">
        <v>687</v>
      </c>
      <c r="E446" s="255" t="s">
        <v>909</v>
      </c>
      <c r="F446" s="330" t="s">
        <v>570</v>
      </c>
      <c r="G446" s="118">
        <v>52.78</v>
      </c>
      <c r="H446" s="328" t="s">
        <v>1307</v>
      </c>
    </row>
    <row r="447" spans="1:8" s="255" customFormat="1">
      <c r="A447" s="326">
        <f t="shared" si="6"/>
        <v>438</v>
      </c>
      <c r="B447" s="327">
        <v>45199</v>
      </c>
      <c r="C447" s="328" t="s">
        <v>948</v>
      </c>
      <c r="D447" s="329" t="s">
        <v>687</v>
      </c>
      <c r="E447" s="328" t="s">
        <v>1025</v>
      </c>
      <c r="F447" s="328" t="s">
        <v>609</v>
      </c>
      <c r="G447" s="118">
        <v>41.67</v>
      </c>
      <c r="H447" s="328" t="s">
        <v>1307</v>
      </c>
    </row>
    <row r="448" spans="1:8" s="255" customFormat="1">
      <c r="A448" s="326">
        <f t="shared" si="6"/>
        <v>439</v>
      </c>
      <c r="B448" s="327">
        <v>45199</v>
      </c>
      <c r="C448" s="328" t="s">
        <v>948</v>
      </c>
      <c r="D448" s="329" t="s">
        <v>687</v>
      </c>
      <c r="E448" s="255" t="s">
        <v>1023</v>
      </c>
      <c r="F448" s="330" t="s">
        <v>795</v>
      </c>
      <c r="G448" s="118">
        <v>45.53</v>
      </c>
      <c r="H448" s="328" t="s">
        <v>1307</v>
      </c>
    </row>
    <row r="449" spans="1:8" s="255" customFormat="1">
      <c r="A449" s="326">
        <f t="shared" si="6"/>
        <v>440</v>
      </c>
      <c r="B449" s="327">
        <v>45199</v>
      </c>
      <c r="C449" s="328" t="s">
        <v>948</v>
      </c>
      <c r="D449" s="329" t="s">
        <v>687</v>
      </c>
      <c r="E449" s="328" t="s">
        <v>1023</v>
      </c>
      <c r="F449" s="330" t="s">
        <v>570</v>
      </c>
      <c r="G449" s="118">
        <v>45.53</v>
      </c>
      <c r="H449" s="328" t="s">
        <v>1307</v>
      </c>
    </row>
    <row r="450" spans="1:8" s="255" customFormat="1">
      <c r="A450" s="326">
        <f t="shared" si="6"/>
        <v>441</v>
      </c>
      <c r="B450" s="327">
        <v>45199</v>
      </c>
      <c r="C450" s="328" t="s">
        <v>948</v>
      </c>
      <c r="D450" s="329" t="s">
        <v>687</v>
      </c>
      <c r="E450" s="328" t="s">
        <v>950</v>
      </c>
      <c r="F450" s="328" t="s">
        <v>570</v>
      </c>
      <c r="G450" s="116">
        <v>166.64</v>
      </c>
      <c r="H450" s="328" t="s">
        <v>1307</v>
      </c>
    </row>
    <row r="451" spans="1:8" s="255" customFormat="1">
      <c r="A451" s="326">
        <f t="shared" si="6"/>
        <v>442</v>
      </c>
      <c r="B451" s="327">
        <v>45199</v>
      </c>
      <c r="C451" s="328" t="s">
        <v>948</v>
      </c>
      <c r="D451" s="329" t="s">
        <v>687</v>
      </c>
      <c r="E451" s="328" t="s">
        <v>950</v>
      </c>
      <c r="F451" s="330" t="s">
        <v>609</v>
      </c>
      <c r="G451" s="118">
        <v>150</v>
      </c>
      <c r="H451" s="328" t="s">
        <v>1307</v>
      </c>
    </row>
    <row r="452" spans="1:8" s="255" customFormat="1">
      <c r="A452" s="326">
        <f t="shared" si="6"/>
        <v>443</v>
      </c>
      <c r="B452" s="327">
        <v>45199</v>
      </c>
      <c r="C452" s="328" t="s">
        <v>948</v>
      </c>
      <c r="D452" s="329" t="s">
        <v>687</v>
      </c>
      <c r="E452" s="328" t="s">
        <v>950</v>
      </c>
      <c r="F452" s="330" t="s">
        <v>609</v>
      </c>
      <c r="G452" s="118">
        <v>154.79</v>
      </c>
      <c r="H452" s="328" t="s">
        <v>1307</v>
      </c>
    </row>
    <row r="453" spans="1:8" s="255" customFormat="1">
      <c r="A453" s="326">
        <f t="shared" si="6"/>
        <v>444</v>
      </c>
      <c r="B453" s="327">
        <v>45199</v>
      </c>
      <c r="C453" s="328" t="s">
        <v>948</v>
      </c>
      <c r="D453" s="329" t="s">
        <v>687</v>
      </c>
      <c r="E453" s="255" t="s">
        <v>950</v>
      </c>
      <c r="F453" s="328" t="s">
        <v>609</v>
      </c>
      <c r="G453" s="118">
        <v>267.57</v>
      </c>
      <c r="H453" s="328" t="s">
        <v>1307</v>
      </c>
    </row>
    <row r="454" spans="1:8" s="255" customFormat="1">
      <c r="A454" s="326">
        <f t="shared" si="6"/>
        <v>445</v>
      </c>
      <c r="B454" s="327">
        <v>45199</v>
      </c>
      <c r="C454" s="328" t="s">
        <v>948</v>
      </c>
      <c r="D454" s="329" t="s">
        <v>687</v>
      </c>
      <c r="E454" s="255" t="s">
        <v>950</v>
      </c>
      <c r="F454" s="330" t="s">
        <v>609</v>
      </c>
      <c r="G454" s="118">
        <v>165</v>
      </c>
      <c r="H454" s="328" t="s">
        <v>1307</v>
      </c>
    </row>
    <row r="455" spans="1:8" s="255" customFormat="1">
      <c r="A455" s="326">
        <f t="shared" si="6"/>
        <v>446</v>
      </c>
      <c r="B455" s="327">
        <v>45199</v>
      </c>
      <c r="C455" s="328" t="s">
        <v>948</v>
      </c>
      <c r="D455" s="329" t="s">
        <v>687</v>
      </c>
      <c r="E455" s="328" t="s">
        <v>951</v>
      </c>
      <c r="F455" s="330" t="s">
        <v>570</v>
      </c>
      <c r="G455" s="116">
        <v>1990.11</v>
      </c>
      <c r="H455" s="328" t="s">
        <v>1307</v>
      </c>
    </row>
    <row r="456" spans="1:8" s="255" customFormat="1">
      <c r="A456" s="326">
        <f t="shared" si="6"/>
        <v>447</v>
      </c>
      <c r="B456" s="327">
        <v>45199</v>
      </c>
      <c r="C456" s="328" t="s">
        <v>948</v>
      </c>
      <c r="D456" s="329" t="s">
        <v>687</v>
      </c>
      <c r="E456" s="328" t="s">
        <v>952</v>
      </c>
      <c r="F456" s="328" t="s">
        <v>794</v>
      </c>
      <c r="G456" s="116">
        <v>953.64</v>
      </c>
      <c r="H456" s="328" t="s">
        <v>1307</v>
      </c>
    </row>
    <row r="457" spans="1:8" s="255" customFormat="1">
      <c r="A457" s="326">
        <f t="shared" si="6"/>
        <v>448</v>
      </c>
      <c r="B457" s="327">
        <v>45199</v>
      </c>
      <c r="C457" s="328" t="s">
        <v>948</v>
      </c>
      <c r="D457" s="328" t="s">
        <v>687</v>
      </c>
      <c r="E457" s="328" t="s">
        <v>1129</v>
      </c>
      <c r="F457" s="328" t="s">
        <v>609</v>
      </c>
      <c r="G457" s="116">
        <v>939</v>
      </c>
      <c r="H457" s="328" t="s">
        <v>1307</v>
      </c>
    </row>
    <row r="458" spans="1:8" s="255" customFormat="1">
      <c r="A458" s="326">
        <f t="shared" si="6"/>
        <v>449</v>
      </c>
      <c r="B458" s="327">
        <v>45199</v>
      </c>
      <c r="C458" s="328" t="s">
        <v>948</v>
      </c>
      <c r="D458" s="328" t="s">
        <v>687</v>
      </c>
      <c r="E458" s="328" t="s">
        <v>945</v>
      </c>
      <c r="F458" s="330" t="s">
        <v>795</v>
      </c>
      <c r="G458" s="116">
        <v>877</v>
      </c>
      <c r="H458" s="328" t="s">
        <v>1307</v>
      </c>
    </row>
    <row r="459" spans="1:8" s="255" customFormat="1">
      <c r="A459" s="326">
        <f t="shared" si="6"/>
        <v>450</v>
      </c>
      <c r="B459" s="327">
        <v>45199</v>
      </c>
      <c r="C459" s="328" t="s">
        <v>948</v>
      </c>
      <c r="D459" s="329" t="s">
        <v>687</v>
      </c>
      <c r="E459" s="255" t="s">
        <v>1125</v>
      </c>
      <c r="F459" s="330" t="s">
        <v>570</v>
      </c>
      <c r="G459" s="118">
        <v>70.680000000000007</v>
      </c>
      <c r="H459" s="328" t="s">
        <v>1307</v>
      </c>
    </row>
    <row r="460" spans="1:8" s="255" customFormat="1">
      <c r="A460" s="326">
        <f t="shared" ref="A460:A523" si="7">A459+1</f>
        <v>451</v>
      </c>
      <c r="B460" s="327">
        <v>45199</v>
      </c>
      <c r="C460" s="328" t="s">
        <v>948</v>
      </c>
      <c r="D460" s="328" t="s">
        <v>687</v>
      </c>
      <c r="E460" s="328" t="s">
        <v>1310</v>
      </c>
      <c r="F460" s="330" t="s">
        <v>609</v>
      </c>
      <c r="G460" s="116">
        <v>2100</v>
      </c>
      <c r="H460" s="328" t="s">
        <v>1307</v>
      </c>
    </row>
    <row r="461" spans="1:8" s="255" customFormat="1">
      <c r="A461" s="326">
        <f t="shared" si="7"/>
        <v>452</v>
      </c>
      <c r="B461" s="327">
        <v>45199</v>
      </c>
      <c r="C461" s="328" t="s">
        <v>948</v>
      </c>
      <c r="D461" s="329" t="s">
        <v>687</v>
      </c>
      <c r="E461" s="328" t="s">
        <v>989</v>
      </c>
      <c r="F461" s="330" t="s">
        <v>609</v>
      </c>
      <c r="G461" s="118">
        <v>602.82000000000005</v>
      </c>
      <c r="H461" s="328" t="s">
        <v>1307</v>
      </c>
    </row>
    <row r="462" spans="1:8" s="255" customFormat="1">
      <c r="A462" s="326">
        <f t="shared" si="7"/>
        <v>453</v>
      </c>
      <c r="B462" s="327">
        <v>45199</v>
      </c>
      <c r="C462" s="328" t="s">
        <v>948</v>
      </c>
      <c r="D462" s="329" t="s">
        <v>687</v>
      </c>
      <c r="E462" s="328" t="s">
        <v>850</v>
      </c>
      <c r="F462" s="328" t="s">
        <v>609</v>
      </c>
      <c r="G462" s="116">
        <v>809.22</v>
      </c>
      <c r="H462" s="328" t="s">
        <v>1307</v>
      </c>
    </row>
    <row r="463" spans="1:8" s="255" customFormat="1">
      <c r="A463" s="326">
        <f t="shared" si="7"/>
        <v>454</v>
      </c>
      <c r="B463" s="327">
        <v>45199</v>
      </c>
      <c r="C463" s="328" t="s">
        <v>948</v>
      </c>
      <c r="D463" s="329" t="s">
        <v>687</v>
      </c>
      <c r="E463" s="255" t="s">
        <v>1172</v>
      </c>
      <c r="F463" s="330" t="s">
        <v>794</v>
      </c>
      <c r="G463" s="118">
        <v>83.33</v>
      </c>
      <c r="H463" s="328" t="s">
        <v>1307</v>
      </c>
    </row>
    <row r="464" spans="1:8" s="255" customFormat="1">
      <c r="A464" s="326">
        <f t="shared" si="7"/>
        <v>455</v>
      </c>
      <c r="B464" s="327">
        <v>45199</v>
      </c>
      <c r="C464" s="328" t="s">
        <v>948</v>
      </c>
      <c r="D464" s="329" t="s">
        <v>687</v>
      </c>
      <c r="E464" s="255" t="s">
        <v>1126</v>
      </c>
      <c r="F464" s="330" t="s">
        <v>795</v>
      </c>
      <c r="G464" s="118">
        <v>232.86</v>
      </c>
      <c r="H464" s="328" t="s">
        <v>1307</v>
      </c>
    </row>
    <row r="465" spans="1:8" s="255" customFormat="1">
      <c r="A465" s="326">
        <f t="shared" si="7"/>
        <v>456</v>
      </c>
      <c r="B465" s="327">
        <v>45199</v>
      </c>
      <c r="C465" s="328" t="s">
        <v>948</v>
      </c>
      <c r="D465" s="329" t="s">
        <v>687</v>
      </c>
      <c r="E465" s="328" t="s">
        <v>1024</v>
      </c>
      <c r="F465" s="328" t="s">
        <v>609</v>
      </c>
      <c r="G465" s="116">
        <v>45.53</v>
      </c>
      <c r="H465" s="328" t="s">
        <v>1307</v>
      </c>
    </row>
    <row r="466" spans="1:8" s="255" customFormat="1">
      <c r="A466" s="326">
        <f t="shared" si="7"/>
        <v>457</v>
      </c>
      <c r="B466" s="327">
        <v>45199</v>
      </c>
      <c r="C466" s="328" t="s">
        <v>907</v>
      </c>
      <c r="D466" s="328" t="s">
        <v>687</v>
      </c>
      <c r="E466" s="328" t="s">
        <v>1127</v>
      </c>
      <c r="F466" s="330" t="s">
        <v>795</v>
      </c>
      <c r="G466" s="118">
        <v>58.33</v>
      </c>
      <c r="H466" s="328" t="s">
        <v>1307</v>
      </c>
    </row>
    <row r="467" spans="1:8" s="255" customFormat="1">
      <c r="A467" s="326">
        <f t="shared" si="7"/>
        <v>458</v>
      </c>
      <c r="B467" s="327">
        <v>45199</v>
      </c>
      <c r="C467" s="328" t="s">
        <v>948</v>
      </c>
      <c r="D467" s="329" t="s">
        <v>687</v>
      </c>
      <c r="E467" s="328" t="s">
        <v>1018</v>
      </c>
      <c r="F467" s="330" t="s">
        <v>609</v>
      </c>
      <c r="G467" s="116">
        <v>41.67</v>
      </c>
      <c r="H467" s="328" t="s">
        <v>1307</v>
      </c>
    </row>
    <row r="468" spans="1:8" s="255" customFormat="1">
      <c r="A468" s="326">
        <f t="shared" si="7"/>
        <v>459</v>
      </c>
      <c r="B468" s="327">
        <v>45199</v>
      </c>
      <c r="C468" s="328" t="s">
        <v>948</v>
      </c>
      <c r="D468" s="329" t="s">
        <v>687</v>
      </c>
      <c r="E468" s="328" t="s">
        <v>954</v>
      </c>
      <c r="F468" s="328" t="s">
        <v>795</v>
      </c>
      <c r="G468" s="118">
        <v>41.67</v>
      </c>
      <c r="H468" s="328" t="s">
        <v>1307</v>
      </c>
    </row>
    <row r="469" spans="1:8" s="255" customFormat="1">
      <c r="A469" s="326">
        <f t="shared" si="7"/>
        <v>460</v>
      </c>
      <c r="B469" s="327">
        <v>45199</v>
      </c>
      <c r="C469" s="328" t="s">
        <v>948</v>
      </c>
      <c r="D469" s="329" t="s">
        <v>687</v>
      </c>
      <c r="E469" s="328" t="s">
        <v>954</v>
      </c>
      <c r="F469" s="328" t="s">
        <v>795</v>
      </c>
      <c r="G469" s="118">
        <v>66.67</v>
      </c>
      <c r="H469" s="328" t="s">
        <v>1307</v>
      </c>
    </row>
    <row r="470" spans="1:8" s="255" customFormat="1">
      <c r="A470" s="326">
        <f t="shared" si="7"/>
        <v>461</v>
      </c>
      <c r="B470" s="327">
        <v>45199</v>
      </c>
      <c r="C470" s="328" t="s">
        <v>948</v>
      </c>
      <c r="D470" s="329" t="s">
        <v>687</v>
      </c>
      <c r="E470" s="255" t="s">
        <v>851</v>
      </c>
      <c r="F470" s="330" t="s">
        <v>795</v>
      </c>
      <c r="G470" s="118">
        <v>228.47</v>
      </c>
      <c r="H470" s="328" t="s">
        <v>1307</v>
      </c>
    </row>
    <row r="471" spans="1:8" s="255" customFormat="1">
      <c r="A471" s="326">
        <f t="shared" si="7"/>
        <v>462</v>
      </c>
      <c r="B471" s="327">
        <v>45199</v>
      </c>
      <c r="C471" s="328" t="s">
        <v>948</v>
      </c>
      <c r="D471" s="329" t="s">
        <v>687</v>
      </c>
      <c r="E471" s="328" t="s">
        <v>1137</v>
      </c>
      <c r="F471" s="330" t="s">
        <v>795</v>
      </c>
      <c r="G471" s="116">
        <v>145.81</v>
      </c>
      <c r="H471" s="328" t="s">
        <v>1307</v>
      </c>
    </row>
    <row r="472" spans="1:8" s="255" customFormat="1">
      <c r="A472" s="326">
        <f t="shared" si="7"/>
        <v>463</v>
      </c>
      <c r="B472" s="327">
        <v>45199</v>
      </c>
      <c r="C472" s="328" t="s">
        <v>907</v>
      </c>
      <c r="D472" s="328" t="s">
        <v>687</v>
      </c>
      <c r="E472" s="255" t="s">
        <v>1138</v>
      </c>
      <c r="F472" s="330" t="s">
        <v>795</v>
      </c>
      <c r="G472" s="118">
        <v>43.8</v>
      </c>
      <c r="H472" s="328" t="s">
        <v>1307</v>
      </c>
    </row>
    <row r="473" spans="1:8" s="255" customFormat="1">
      <c r="A473" s="326">
        <f t="shared" si="7"/>
        <v>464</v>
      </c>
      <c r="B473" s="327">
        <v>45199</v>
      </c>
      <c r="C473" s="328" t="s">
        <v>948</v>
      </c>
      <c r="D473" s="328" t="s">
        <v>687</v>
      </c>
      <c r="E473" s="328" t="s">
        <v>955</v>
      </c>
      <c r="F473" s="330" t="s">
        <v>609</v>
      </c>
      <c r="G473" s="118">
        <v>2736.18</v>
      </c>
      <c r="H473" s="328" t="s">
        <v>1307</v>
      </c>
    </row>
    <row r="474" spans="1:8" s="255" customFormat="1">
      <c r="A474" s="326">
        <f t="shared" si="7"/>
        <v>465</v>
      </c>
      <c r="B474" s="327">
        <v>45199</v>
      </c>
      <c r="C474" s="328" t="s">
        <v>948</v>
      </c>
      <c r="D474" s="329" t="s">
        <v>687</v>
      </c>
      <c r="E474" s="328" t="s">
        <v>956</v>
      </c>
      <c r="F474" s="328" t="s">
        <v>609</v>
      </c>
      <c r="G474" s="118">
        <v>141.21</v>
      </c>
      <c r="H474" s="328" t="s">
        <v>1307</v>
      </c>
    </row>
    <row r="475" spans="1:8" s="255" customFormat="1">
      <c r="A475" s="326">
        <f t="shared" si="7"/>
        <v>466</v>
      </c>
      <c r="B475" s="327">
        <v>45199</v>
      </c>
      <c r="C475" s="328" t="s">
        <v>907</v>
      </c>
      <c r="D475" s="328" t="s">
        <v>687</v>
      </c>
      <c r="E475" s="328" t="s">
        <v>991</v>
      </c>
      <c r="F475" s="330" t="s">
        <v>795</v>
      </c>
      <c r="G475" s="118">
        <v>66.67</v>
      </c>
      <c r="H475" s="328" t="s">
        <v>1307</v>
      </c>
    </row>
    <row r="476" spans="1:8" s="255" customFormat="1">
      <c r="A476" s="326">
        <f t="shared" si="7"/>
        <v>467</v>
      </c>
      <c r="B476" s="327">
        <v>45199</v>
      </c>
      <c r="C476" s="328" t="s">
        <v>948</v>
      </c>
      <c r="D476" s="329" t="s">
        <v>687</v>
      </c>
      <c r="E476" s="328" t="s">
        <v>1168</v>
      </c>
      <c r="F476" s="330" t="s">
        <v>795</v>
      </c>
      <c r="G476" s="118">
        <v>153</v>
      </c>
      <c r="H476" s="328" t="s">
        <v>1307</v>
      </c>
    </row>
    <row r="477" spans="1:8" s="255" customFormat="1">
      <c r="A477" s="326">
        <f t="shared" si="7"/>
        <v>468</v>
      </c>
      <c r="B477" s="327">
        <v>45199</v>
      </c>
      <c r="C477" s="328" t="s">
        <v>948</v>
      </c>
      <c r="D477" s="328" t="s">
        <v>687</v>
      </c>
      <c r="E477" s="328" t="s">
        <v>1311</v>
      </c>
      <c r="F477" s="328" t="s">
        <v>609</v>
      </c>
      <c r="G477" s="118">
        <v>3537.38</v>
      </c>
      <c r="H477" s="328" t="s">
        <v>1307</v>
      </c>
    </row>
    <row r="478" spans="1:8" s="255" customFormat="1">
      <c r="A478" s="326">
        <f t="shared" si="7"/>
        <v>469</v>
      </c>
      <c r="B478" s="327">
        <v>45199</v>
      </c>
      <c r="C478" s="328" t="s">
        <v>948</v>
      </c>
      <c r="D478" s="329" t="s">
        <v>687</v>
      </c>
      <c r="E478" s="328" t="s">
        <v>1026</v>
      </c>
      <c r="F478" s="330" t="s">
        <v>794</v>
      </c>
      <c r="G478" s="118">
        <v>747.76</v>
      </c>
      <c r="H478" s="328" t="s">
        <v>1307</v>
      </c>
    </row>
    <row r="479" spans="1:8" s="255" customFormat="1">
      <c r="A479" s="326">
        <f t="shared" si="7"/>
        <v>470</v>
      </c>
      <c r="B479" s="327">
        <v>45199</v>
      </c>
      <c r="C479" s="328" t="s">
        <v>948</v>
      </c>
      <c r="D479" s="328" t="s">
        <v>687</v>
      </c>
      <c r="E479" s="328" t="s">
        <v>1133</v>
      </c>
      <c r="F479" s="330" t="s">
        <v>795</v>
      </c>
      <c r="G479" s="118">
        <v>1033</v>
      </c>
      <c r="H479" s="328" t="s">
        <v>1307</v>
      </c>
    </row>
    <row r="480" spans="1:8" s="255" customFormat="1">
      <c r="A480" s="326">
        <f t="shared" si="7"/>
        <v>471</v>
      </c>
      <c r="B480" s="327">
        <v>45199</v>
      </c>
      <c r="C480" s="328" t="s">
        <v>948</v>
      </c>
      <c r="D480" s="329" t="s">
        <v>687</v>
      </c>
      <c r="E480" s="328" t="s">
        <v>1169</v>
      </c>
      <c r="F480" s="330" t="s">
        <v>609</v>
      </c>
      <c r="G480" s="116">
        <v>440</v>
      </c>
      <c r="H480" s="328" t="s">
        <v>1307</v>
      </c>
    </row>
    <row r="481" spans="1:8" s="255" customFormat="1">
      <c r="A481" s="326">
        <f t="shared" si="7"/>
        <v>472</v>
      </c>
      <c r="B481" s="327">
        <v>45199</v>
      </c>
      <c r="C481" s="328" t="s">
        <v>948</v>
      </c>
      <c r="D481" s="329" t="s">
        <v>687</v>
      </c>
      <c r="E481" s="255" t="s">
        <v>1020</v>
      </c>
      <c r="F481" s="330" t="s">
        <v>794</v>
      </c>
      <c r="G481" s="118">
        <v>450</v>
      </c>
      <c r="H481" s="328" t="s">
        <v>1307</v>
      </c>
    </row>
    <row r="482" spans="1:8" s="255" customFormat="1">
      <c r="A482" s="326">
        <f t="shared" si="7"/>
        <v>473</v>
      </c>
      <c r="B482" s="327">
        <v>45230</v>
      </c>
      <c r="C482" s="328" t="s">
        <v>907</v>
      </c>
      <c r="D482" s="328">
        <v>100157</v>
      </c>
      <c r="E482" s="255" t="s">
        <v>1022</v>
      </c>
      <c r="F482" s="330" t="s">
        <v>795</v>
      </c>
      <c r="G482" s="118">
        <v>100</v>
      </c>
      <c r="H482" s="328" t="s">
        <v>1307</v>
      </c>
    </row>
    <row r="483" spans="1:8" s="255" customFormat="1">
      <c r="A483" s="326">
        <f t="shared" si="7"/>
        <v>474</v>
      </c>
      <c r="B483" s="327">
        <v>45230</v>
      </c>
      <c r="C483" s="328" t="s">
        <v>907</v>
      </c>
      <c r="D483" s="328">
        <v>100157</v>
      </c>
      <c r="E483" s="255" t="s">
        <v>1022</v>
      </c>
      <c r="F483" s="330" t="s">
        <v>795</v>
      </c>
      <c r="G483" s="118">
        <v>50</v>
      </c>
      <c r="H483" s="328" t="s">
        <v>1307</v>
      </c>
    </row>
    <row r="484" spans="1:8" s="255" customFormat="1">
      <c r="A484" s="326">
        <f t="shared" si="7"/>
        <v>475</v>
      </c>
      <c r="B484" s="327">
        <v>45230</v>
      </c>
      <c r="C484" s="328" t="s">
        <v>948</v>
      </c>
      <c r="D484" s="329" t="s">
        <v>688</v>
      </c>
      <c r="E484" s="255" t="s">
        <v>1139</v>
      </c>
      <c r="F484" s="330" t="s">
        <v>795</v>
      </c>
      <c r="G484" s="118">
        <v>42.88</v>
      </c>
      <c r="H484" s="328" t="s">
        <v>1307</v>
      </c>
    </row>
    <row r="485" spans="1:8" s="255" customFormat="1">
      <c r="A485" s="326">
        <f t="shared" si="7"/>
        <v>476</v>
      </c>
      <c r="B485" s="327">
        <v>45230</v>
      </c>
      <c r="C485" s="328" t="s">
        <v>907</v>
      </c>
      <c r="D485" s="328">
        <v>100157</v>
      </c>
      <c r="E485" s="255" t="s">
        <v>1313</v>
      </c>
      <c r="F485" s="330" t="s">
        <v>795</v>
      </c>
      <c r="G485" s="118">
        <v>583.33000000000004</v>
      </c>
      <c r="H485" s="328" t="s">
        <v>1307</v>
      </c>
    </row>
    <row r="486" spans="1:8" s="255" customFormat="1">
      <c r="A486" s="326">
        <f t="shared" si="7"/>
        <v>477</v>
      </c>
      <c r="B486" s="327">
        <v>45230</v>
      </c>
      <c r="C486" s="328" t="s">
        <v>948</v>
      </c>
      <c r="D486" s="328" t="s">
        <v>688</v>
      </c>
      <c r="E486" s="328" t="s">
        <v>1312</v>
      </c>
      <c r="F486" s="330" t="s">
        <v>609</v>
      </c>
      <c r="G486" s="118">
        <v>1000</v>
      </c>
      <c r="H486" s="328" t="s">
        <v>1307</v>
      </c>
    </row>
    <row r="487" spans="1:8" s="255" customFormat="1">
      <c r="A487" s="326">
        <f t="shared" si="7"/>
        <v>478</v>
      </c>
      <c r="B487" s="327">
        <v>45230</v>
      </c>
      <c r="C487" s="328" t="s">
        <v>948</v>
      </c>
      <c r="D487" s="329" t="s">
        <v>688</v>
      </c>
      <c r="E487" s="328" t="s">
        <v>1171</v>
      </c>
      <c r="F487" s="328" t="s">
        <v>794</v>
      </c>
      <c r="G487" s="118">
        <v>166.67</v>
      </c>
      <c r="H487" s="328" t="s">
        <v>1307</v>
      </c>
    </row>
    <row r="488" spans="1:8" s="255" customFormat="1">
      <c r="A488" s="326">
        <f t="shared" si="7"/>
        <v>479</v>
      </c>
      <c r="B488" s="327">
        <v>45230</v>
      </c>
      <c r="C488" s="328" t="s">
        <v>948</v>
      </c>
      <c r="D488" s="328" t="s">
        <v>688</v>
      </c>
      <c r="E488" s="328" t="s">
        <v>1132</v>
      </c>
      <c r="F488" s="330" t="s">
        <v>795</v>
      </c>
      <c r="G488" s="118">
        <v>493</v>
      </c>
      <c r="H488" s="328" t="s">
        <v>1307</v>
      </c>
    </row>
    <row r="489" spans="1:8" s="255" customFormat="1">
      <c r="A489" s="326">
        <f t="shared" si="7"/>
        <v>480</v>
      </c>
      <c r="B489" s="327">
        <v>45230</v>
      </c>
      <c r="C489" s="328" t="s">
        <v>948</v>
      </c>
      <c r="D489" s="328" t="s">
        <v>688</v>
      </c>
      <c r="E489" s="328" t="s">
        <v>987</v>
      </c>
      <c r="F489" s="328" t="s">
        <v>570</v>
      </c>
      <c r="G489" s="116">
        <v>1002</v>
      </c>
      <c r="H489" s="328" t="s">
        <v>1307</v>
      </c>
    </row>
    <row r="490" spans="1:8" s="255" customFormat="1">
      <c r="A490" s="326">
        <f t="shared" si="7"/>
        <v>481</v>
      </c>
      <c r="B490" s="327">
        <v>45230</v>
      </c>
      <c r="C490" s="328" t="s">
        <v>948</v>
      </c>
      <c r="D490" s="329" t="s">
        <v>688</v>
      </c>
      <c r="E490" s="255" t="s">
        <v>1130</v>
      </c>
      <c r="F490" s="330" t="s">
        <v>795</v>
      </c>
      <c r="G490" s="118">
        <v>45.53</v>
      </c>
      <c r="H490" s="328" t="s">
        <v>1307</v>
      </c>
    </row>
    <row r="491" spans="1:8" s="255" customFormat="1">
      <c r="A491" s="326">
        <f t="shared" si="7"/>
        <v>482</v>
      </c>
      <c r="B491" s="327">
        <v>45230</v>
      </c>
      <c r="C491" s="328" t="s">
        <v>907</v>
      </c>
      <c r="D491" s="328">
        <v>100157</v>
      </c>
      <c r="E491" s="255" t="s">
        <v>1314</v>
      </c>
      <c r="F491" s="330" t="s">
        <v>795</v>
      </c>
      <c r="G491" s="118">
        <v>62.5</v>
      </c>
      <c r="H491" s="328" t="s">
        <v>1307</v>
      </c>
    </row>
    <row r="492" spans="1:8" s="255" customFormat="1">
      <c r="A492" s="326">
        <f t="shared" si="7"/>
        <v>483</v>
      </c>
      <c r="B492" s="327">
        <v>45230</v>
      </c>
      <c r="C492" s="328" t="s">
        <v>907</v>
      </c>
      <c r="D492" s="328">
        <v>100157</v>
      </c>
      <c r="E492" s="255" t="s">
        <v>1015</v>
      </c>
      <c r="F492" s="330" t="s">
        <v>795</v>
      </c>
      <c r="G492" s="118">
        <v>75</v>
      </c>
      <c r="H492" s="328" t="s">
        <v>1307</v>
      </c>
    </row>
    <row r="493" spans="1:8" s="255" customFormat="1">
      <c r="A493" s="326">
        <f t="shared" si="7"/>
        <v>484</v>
      </c>
      <c r="B493" s="327">
        <v>45230</v>
      </c>
      <c r="C493" s="328" t="s">
        <v>907</v>
      </c>
      <c r="D493" s="328">
        <v>100157</v>
      </c>
      <c r="E493" s="255" t="s">
        <v>1015</v>
      </c>
      <c r="F493" s="330" t="s">
        <v>795</v>
      </c>
      <c r="G493" s="118">
        <v>400</v>
      </c>
      <c r="H493" s="328" t="s">
        <v>1308</v>
      </c>
    </row>
    <row r="494" spans="1:8" s="255" customFormat="1">
      <c r="A494" s="326">
        <f t="shared" si="7"/>
        <v>485</v>
      </c>
      <c r="B494" s="327">
        <v>45230</v>
      </c>
      <c r="C494" s="328" t="s">
        <v>948</v>
      </c>
      <c r="D494" s="329" t="s">
        <v>688</v>
      </c>
      <c r="E494" s="328" t="s">
        <v>870</v>
      </c>
      <c r="F494" s="328" t="s">
        <v>795</v>
      </c>
      <c r="G494" s="116">
        <v>41.67</v>
      </c>
      <c r="H494" s="328" t="s">
        <v>1307</v>
      </c>
    </row>
    <row r="495" spans="1:8" s="255" customFormat="1">
      <c r="A495" s="326">
        <f t="shared" si="7"/>
        <v>486</v>
      </c>
      <c r="B495" s="327">
        <v>45230</v>
      </c>
      <c r="C495" s="328" t="s">
        <v>948</v>
      </c>
      <c r="D495" s="329" t="s">
        <v>688</v>
      </c>
      <c r="E495" s="328" t="s">
        <v>852</v>
      </c>
      <c r="F495" s="330" t="s">
        <v>570</v>
      </c>
      <c r="G495" s="118">
        <v>41.67</v>
      </c>
      <c r="H495" s="328" t="s">
        <v>1307</v>
      </c>
    </row>
    <row r="496" spans="1:8" s="255" customFormat="1">
      <c r="A496" s="326">
        <f t="shared" si="7"/>
        <v>487</v>
      </c>
      <c r="B496" s="327">
        <v>45230</v>
      </c>
      <c r="C496" s="328" t="s">
        <v>948</v>
      </c>
      <c r="D496" s="329" t="s">
        <v>688</v>
      </c>
      <c r="E496" s="328" t="s">
        <v>949</v>
      </c>
      <c r="F496" s="330" t="s">
        <v>609</v>
      </c>
      <c r="G496" s="116">
        <v>179.17</v>
      </c>
      <c r="H496" s="328" t="s">
        <v>1307</v>
      </c>
    </row>
    <row r="497" spans="1:8" s="255" customFormat="1">
      <c r="A497" s="326">
        <f t="shared" si="7"/>
        <v>488</v>
      </c>
      <c r="B497" s="327">
        <v>45230</v>
      </c>
      <c r="C497" s="328" t="s">
        <v>948</v>
      </c>
      <c r="D497" s="329" t="s">
        <v>688</v>
      </c>
      <c r="E497" s="328" t="s">
        <v>908</v>
      </c>
      <c r="F497" s="328" t="s">
        <v>795</v>
      </c>
      <c r="G497" s="118">
        <v>100</v>
      </c>
      <c r="H497" s="328" t="s">
        <v>1308</v>
      </c>
    </row>
    <row r="498" spans="1:8" s="255" customFormat="1">
      <c r="A498" s="326">
        <f t="shared" si="7"/>
        <v>489</v>
      </c>
      <c r="B498" s="327">
        <v>45230</v>
      </c>
      <c r="C498" s="328" t="s">
        <v>948</v>
      </c>
      <c r="D498" s="329" t="s">
        <v>688</v>
      </c>
      <c r="E498" s="328" t="s">
        <v>909</v>
      </c>
      <c r="F498" s="330" t="s">
        <v>570</v>
      </c>
      <c r="G498" s="118">
        <v>52.78</v>
      </c>
      <c r="H498" s="328" t="s">
        <v>1307</v>
      </c>
    </row>
    <row r="499" spans="1:8" s="255" customFormat="1">
      <c r="A499" s="326">
        <f t="shared" si="7"/>
        <v>490</v>
      </c>
      <c r="B499" s="327">
        <v>45230</v>
      </c>
      <c r="C499" s="328" t="s">
        <v>948</v>
      </c>
      <c r="D499" s="329" t="s">
        <v>688</v>
      </c>
      <c r="E499" s="328" t="s">
        <v>1025</v>
      </c>
      <c r="F499" s="330" t="s">
        <v>609</v>
      </c>
      <c r="G499" s="116">
        <v>41.67</v>
      </c>
      <c r="H499" s="328" t="s">
        <v>1307</v>
      </c>
    </row>
    <row r="500" spans="1:8" s="255" customFormat="1">
      <c r="A500" s="326">
        <f t="shared" si="7"/>
        <v>491</v>
      </c>
      <c r="B500" s="327">
        <v>45230</v>
      </c>
      <c r="C500" s="328" t="s">
        <v>948</v>
      </c>
      <c r="D500" s="329" t="s">
        <v>688</v>
      </c>
      <c r="E500" s="328" t="s">
        <v>1023</v>
      </c>
      <c r="F500" s="328" t="s">
        <v>795</v>
      </c>
      <c r="G500" s="116">
        <v>45.53</v>
      </c>
      <c r="H500" s="328" t="s">
        <v>1307</v>
      </c>
    </row>
    <row r="501" spans="1:8" s="255" customFormat="1">
      <c r="A501" s="326">
        <f t="shared" si="7"/>
        <v>492</v>
      </c>
      <c r="B501" s="327">
        <v>45230</v>
      </c>
      <c r="C501" s="328" t="s">
        <v>948</v>
      </c>
      <c r="D501" s="329" t="s">
        <v>688</v>
      </c>
      <c r="E501" s="255" t="s">
        <v>1023</v>
      </c>
      <c r="F501" s="328" t="s">
        <v>570</v>
      </c>
      <c r="G501" s="118">
        <v>45.53</v>
      </c>
      <c r="H501" s="328" t="s">
        <v>1307</v>
      </c>
    </row>
    <row r="502" spans="1:8" s="255" customFormat="1">
      <c r="A502" s="326">
        <f t="shared" si="7"/>
        <v>493</v>
      </c>
      <c r="B502" s="327">
        <v>45230</v>
      </c>
      <c r="C502" s="328" t="s">
        <v>948</v>
      </c>
      <c r="D502" s="329" t="s">
        <v>688</v>
      </c>
      <c r="E502" s="255" t="s">
        <v>950</v>
      </c>
      <c r="F502" s="328" t="s">
        <v>609</v>
      </c>
      <c r="G502" s="118">
        <v>150</v>
      </c>
      <c r="H502" s="328" t="s">
        <v>1307</v>
      </c>
    </row>
    <row r="503" spans="1:8" s="255" customFormat="1">
      <c r="A503" s="326">
        <f t="shared" si="7"/>
        <v>494</v>
      </c>
      <c r="B503" s="327">
        <v>45230</v>
      </c>
      <c r="C503" s="328" t="s">
        <v>948</v>
      </c>
      <c r="D503" s="329" t="s">
        <v>688</v>
      </c>
      <c r="E503" s="328" t="s">
        <v>950</v>
      </c>
      <c r="F503" s="328" t="s">
        <v>609</v>
      </c>
      <c r="G503" s="116">
        <v>154.79</v>
      </c>
      <c r="H503" s="328" t="s">
        <v>1307</v>
      </c>
    </row>
    <row r="504" spans="1:8" s="255" customFormat="1">
      <c r="A504" s="326">
        <f t="shared" si="7"/>
        <v>495</v>
      </c>
      <c r="B504" s="327">
        <v>45230</v>
      </c>
      <c r="C504" s="328" t="s">
        <v>948</v>
      </c>
      <c r="D504" s="329" t="s">
        <v>688</v>
      </c>
      <c r="E504" s="328" t="s">
        <v>950</v>
      </c>
      <c r="F504" s="328" t="s">
        <v>609</v>
      </c>
      <c r="G504" s="116">
        <v>267.57</v>
      </c>
      <c r="H504" s="328" t="s">
        <v>1307</v>
      </c>
    </row>
    <row r="505" spans="1:8" s="255" customFormat="1">
      <c r="A505" s="326">
        <f t="shared" si="7"/>
        <v>496</v>
      </c>
      <c r="B505" s="327">
        <v>45230</v>
      </c>
      <c r="C505" s="328" t="s">
        <v>948</v>
      </c>
      <c r="D505" s="329" t="s">
        <v>688</v>
      </c>
      <c r="E505" s="328" t="s">
        <v>950</v>
      </c>
      <c r="F505" s="330" t="s">
        <v>570</v>
      </c>
      <c r="G505" s="118">
        <v>166.67</v>
      </c>
      <c r="H505" s="328" t="s">
        <v>1307</v>
      </c>
    </row>
    <row r="506" spans="1:8" s="255" customFormat="1">
      <c r="A506" s="326">
        <f t="shared" si="7"/>
        <v>497</v>
      </c>
      <c r="B506" s="327">
        <v>45230</v>
      </c>
      <c r="C506" s="328" t="s">
        <v>948</v>
      </c>
      <c r="D506" s="329" t="s">
        <v>688</v>
      </c>
      <c r="E506" s="255" t="s">
        <v>950</v>
      </c>
      <c r="F506" s="330" t="s">
        <v>609</v>
      </c>
      <c r="G506" s="118">
        <v>15</v>
      </c>
      <c r="H506" s="328" t="s">
        <v>1307</v>
      </c>
    </row>
    <row r="507" spans="1:8" s="255" customFormat="1">
      <c r="A507" s="326">
        <f t="shared" si="7"/>
        <v>498</v>
      </c>
      <c r="B507" s="327">
        <v>45230</v>
      </c>
      <c r="C507" s="328" t="s">
        <v>948</v>
      </c>
      <c r="D507" s="329" t="s">
        <v>688</v>
      </c>
      <c r="E507" s="328" t="s">
        <v>950</v>
      </c>
      <c r="F507" s="330" t="s">
        <v>609</v>
      </c>
      <c r="G507" s="116">
        <v>791.67</v>
      </c>
      <c r="H507" s="328" t="s">
        <v>1307</v>
      </c>
    </row>
    <row r="508" spans="1:8" s="255" customFormat="1">
      <c r="A508" s="326">
        <f t="shared" si="7"/>
        <v>499</v>
      </c>
      <c r="B508" s="327">
        <v>45230</v>
      </c>
      <c r="C508" s="328" t="s">
        <v>948</v>
      </c>
      <c r="D508" s="329" t="s">
        <v>688</v>
      </c>
      <c r="E508" s="255" t="s">
        <v>951</v>
      </c>
      <c r="F508" s="330" t="s">
        <v>570</v>
      </c>
      <c r="G508" s="118">
        <v>1990.11</v>
      </c>
      <c r="H508" s="328" t="s">
        <v>1307</v>
      </c>
    </row>
    <row r="509" spans="1:8" s="255" customFormat="1">
      <c r="A509" s="326">
        <f t="shared" si="7"/>
        <v>500</v>
      </c>
      <c r="B509" s="327">
        <v>45230</v>
      </c>
      <c r="C509" s="328" t="s">
        <v>907</v>
      </c>
      <c r="D509" s="328">
        <v>100157</v>
      </c>
      <c r="E509" s="255" t="s">
        <v>1140</v>
      </c>
      <c r="F509" s="330" t="s">
        <v>609</v>
      </c>
      <c r="G509" s="118">
        <v>100</v>
      </c>
      <c r="H509" s="328" t="s">
        <v>1308</v>
      </c>
    </row>
    <row r="510" spans="1:8" s="255" customFormat="1">
      <c r="A510" s="326">
        <f t="shared" si="7"/>
        <v>501</v>
      </c>
      <c r="B510" s="327">
        <v>45230</v>
      </c>
      <c r="C510" s="328" t="s">
        <v>948</v>
      </c>
      <c r="D510" s="329" t="s">
        <v>688</v>
      </c>
      <c r="E510" s="328" t="s">
        <v>952</v>
      </c>
      <c r="F510" s="328" t="s">
        <v>794</v>
      </c>
      <c r="G510" s="118">
        <v>953.64</v>
      </c>
      <c r="H510" s="328" t="s">
        <v>1307</v>
      </c>
    </row>
    <row r="511" spans="1:8" s="255" customFormat="1">
      <c r="A511" s="326">
        <f t="shared" si="7"/>
        <v>502</v>
      </c>
      <c r="B511" s="327">
        <v>45230</v>
      </c>
      <c r="C511" s="328" t="s">
        <v>948</v>
      </c>
      <c r="D511" s="328" t="s">
        <v>688</v>
      </c>
      <c r="E511" s="328" t="s">
        <v>1129</v>
      </c>
      <c r="F511" s="328" t="s">
        <v>609</v>
      </c>
      <c r="G511" s="116">
        <v>939</v>
      </c>
      <c r="H511" s="328" t="s">
        <v>1307</v>
      </c>
    </row>
    <row r="512" spans="1:8" s="255" customFormat="1">
      <c r="A512" s="326">
        <f t="shared" si="7"/>
        <v>503</v>
      </c>
      <c r="B512" s="327">
        <v>45230</v>
      </c>
      <c r="C512" s="328" t="s">
        <v>948</v>
      </c>
      <c r="D512" s="328" t="s">
        <v>688</v>
      </c>
      <c r="E512" s="328" t="s">
        <v>945</v>
      </c>
      <c r="F512" s="330" t="s">
        <v>795</v>
      </c>
      <c r="G512" s="116">
        <v>877</v>
      </c>
      <c r="H512" s="328" t="s">
        <v>1307</v>
      </c>
    </row>
    <row r="513" spans="1:8" s="255" customFormat="1">
      <c r="A513" s="326">
        <f t="shared" si="7"/>
        <v>504</v>
      </c>
      <c r="B513" s="327">
        <v>45230</v>
      </c>
      <c r="C513" s="328" t="s">
        <v>948</v>
      </c>
      <c r="D513" s="329" t="s">
        <v>688</v>
      </c>
      <c r="E513" s="328" t="s">
        <v>1125</v>
      </c>
      <c r="F513" s="328" t="s">
        <v>570</v>
      </c>
      <c r="G513" s="116">
        <v>70.680000000000007</v>
      </c>
      <c r="H513" s="328" t="s">
        <v>1307</v>
      </c>
    </row>
    <row r="514" spans="1:8" s="255" customFormat="1">
      <c r="A514" s="326">
        <f t="shared" si="7"/>
        <v>505</v>
      </c>
      <c r="B514" s="327">
        <v>45230</v>
      </c>
      <c r="C514" s="328" t="s">
        <v>948</v>
      </c>
      <c r="D514" s="328" t="s">
        <v>688</v>
      </c>
      <c r="E514" s="328" t="s">
        <v>1320</v>
      </c>
      <c r="F514" s="330" t="s">
        <v>609</v>
      </c>
      <c r="G514" s="118">
        <v>1370</v>
      </c>
      <c r="H514" s="328" t="s">
        <v>1307</v>
      </c>
    </row>
    <row r="515" spans="1:8" s="255" customFormat="1">
      <c r="A515" s="326">
        <f t="shared" si="7"/>
        <v>506</v>
      </c>
      <c r="B515" s="327">
        <v>45230</v>
      </c>
      <c r="C515" s="328" t="s">
        <v>948</v>
      </c>
      <c r="D515" s="328" t="s">
        <v>688</v>
      </c>
      <c r="E515" s="328" t="s">
        <v>1310</v>
      </c>
      <c r="F515" s="330" t="s">
        <v>609</v>
      </c>
      <c r="G515" s="116">
        <v>2100</v>
      </c>
      <c r="H515" s="328" t="s">
        <v>1307</v>
      </c>
    </row>
    <row r="516" spans="1:8" s="255" customFormat="1">
      <c r="A516" s="326">
        <f t="shared" si="7"/>
        <v>507</v>
      </c>
      <c r="B516" s="327">
        <v>45230</v>
      </c>
      <c r="C516" s="328" t="s">
        <v>948</v>
      </c>
      <c r="D516" s="329" t="s">
        <v>688</v>
      </c>
      <c r="E516" s="255" t="s">
        <v>989</v>
      </c>
      <c r="F516" s="330" t="s">
        <v>609</v>
      </c>
      <c r="G516" s="118">
        <v>602.82000000000005</v>
      </c>
      <c r="H516" s="328" t="s">
        <v>1307</v>
      </c>
    </row>
    <row r="517" spans="1:8" s="255" customFormat="1">
      <c r="A517" s="326">
        <f t="shared" si="7"/>
        <v>508</v>
      </c>
      <c r="B517" s="327">
        <v>45230</v>
      </c>
      <c r="C517" s="328" t="s">
        <v>948</v>
      </c>
      <c r="D517" s="329" t="s">
        <v>688</v>
      </c>
      <c r="E517" s="328" t="s">
        <v>850</v>
      </c>
      <c r="F517" s="328" t="s">
        <v>609</v>
      </c>
      <c r="G517" s="116">
        <v>809.22</v>
      </c>
      <c r="H517" s="328" t="s">
        <v>1307</v>
      </c>
    </row>
    <row r="518" spans="1:8" s="255" customFormat="1">
      <c r="A518" s="326">
        <f t="shared" si="7"/>
        <v>509</v>
      </c>
      <c r="B518" s="327">
        <v>45230</v>
      </c>
      <c r="C518" s="328" t="s">
        <v>948</v>
      </c>
      <c r="D518" s="329" t="s">
        <v>688</v>
      </c>
      <c r="E518" s="328" t="s">
        <v>1172</v>
      </c>
      <c r="F518" s="330" t="s">
        <v>794</v>
      </c>
      <c r="G518" s="118">
        <v>83.33</v>
      </c>
      <c r="H518" s="328" t="s">
        <v>1307</v>
      </c>
    </row>
    <row r="519" spans="1:8" s="255" customFormat="1">
      <c r="A519" s="326">
        <f t="shared" si="7"/>
        <v>510</v>
      </c>
      <c r="B519" s="327">
        <v>45230</v>
      </c>
      <c r="C519" s="328" t="s">
        <v>948</v>
      </c>
      <c r="D519" s="329" t="s">
        <v>688</v>
      </c>
      <c r="E519" s="328" t="s">
        <v>1126</v>
      </c>
      <c r="F519" s="328" t="s">
        <v>795</v>
      </c>
      <c r="G519" s="116">
        <v>232.86</v>
      </c>
      <c r="H519" s="328" t="s">
        <v>1307</v>
      </c>
    </row>
    <row r="520" spans="1:8" s="255" customFormat="1">
      <c r="A520" s="326">
        <f t="shared" si="7"/>
        <v>511</v>
      </c>
      <c r="B520" s="327">
        <v>45230</v>
      </c>
      <c r="C520" s="328" t="s">
        <v>948</v>
      </c>
      <c r="D520" s="329" t="s">
        <v>688</v>
      </c>
      <c r="E520" s="328" t="s">
        <v>1024</v>
      </c>
      <c r="F520" s="330" t="s">
        <v>609</v>
      </c>
      <c r="G520" s="118">
        <v>45.53</v>
      </c>
      <c r="H520" s="328" t="s">
        <v>1307</v>
      </c>
    </row>
    <row r="521" spans="1:8" s="255" customFormat="1">
      <c r="A521" s="326">
        <f t="shared" si="7"/>
        <v>512</v>
      </c>
      <c r="B521" s="327">
        <v>45230</v>
      </c>
      <c r="C521" s="328" t="s">
        <v>907</v>
      </c>
      <c r="D521" s="328">
        <v>100157</v>
      </c>
      <c r="E521" s="255" t="s">
        <v>1127</v>
      </c>
      <c r="F521" s="330" t="s">
        <v>795</v>
      </c>
      <c r="G521" s="118">
        <v>58.33</v>
      </c>
      <c r="H521" s="328" t="s">
        <v>1307</v>
      </c>
    </row>
    <row r="522" spans="1:8" s="255" customFormat="1">
      <c r="A522" s="326">
        <f t="shared" si="7"/>
        <v>513</v>
      </c>
      <c r="B522" s="327">
        <v>45230</v>
      </c>
      <c r="C522" s="328" t="s">
        <v>948</v>
      </c>
      <c r="D522" s="329" t="s">
        <v>688</v>
      </c>
      <c r="E522" s="328" t="s">
        <v>1018</v>
      </c>
      <c r="F522" s="330" t="s">
        <v>609</v>
      </c>
      <c r="G522" s="116">
        <v>41.67</v>
      </c>
      <c r="H522" s="328" t="s">
        <v>1307</v>
      </c>
    </row>
    <row r="523" spans="1:8" s="255" customFormat="1">
      <c r="A523" s="326">
        <f t="shared" si="7"/>
        <v>514</v>
      </c>
      <c r="B523" s="327">
        <v>45230</v>
      </c>
      <c r="C523" s="328" t="s">
        <v>948</v>
      </c>
      <c r="D523" s="328" t="s">
        <v>688</v>
      </c>
      <c r="E523" s="328" t="s">
        <v>1321</v>
      </c>
      <c r="F523" s="330" t="s">
        <v>609</v>
      </c>
      <c r="G523" s="116">
        <v>1370</v>
      </c>
      <c r="H523" s="328" t="s">
        <v>1307</v>
      </c>
    </row>
    <row r="524" spans="1:8" s="255" customFormat="1">
      <c r="A524" s="326">
        <f t="shared" ref="A524:A587" si="8">A523+1</f>
        <v>515</v>
      </c>
      <c r="B524" s="327">
        <v>45230</v>
      </c>
      <c r="C524" s="328" t="s">
        <v>948</v>
      </c>
      <c r="D524" s="329" t="s">
        <v>688</v>
      </c>
      <c r="E524" s="255" t="s">
        <v>954</v>
      </c>
      <c r="F524" s="328" t="s">
        <v>795</v>
      </c>
      <c r="G524" s="118">
        <v>41.67</v>
      </c>
      <c r="H524" s="328" t="s">
        <v>1307</v>
      </c>
    </row>
    <row r="525" spans="1:8" s="255" customFormat="1">
      <c r="A525" s="326">
        <f t="shared" si="8"/>
        <v>516</v>
      </c>
      <c r="B525" s="327">
        <v>45230</v>
      </c>
      <c r="C525" s="328" t="s">
        <v>948</v>
      </c>
      <c r="D525" s="329" t="s">
        <v>688</v>
      </c>
      <c r="E525" s="255" t="s">
        <v>954</v>
      </c>
      <c r="F525" s="330" t="s">
        <v>795</v>
      </c>
      <c r="G525" s="118">
        <v>66.67</v>
      </c>
      <c r="H525" s="328" t="s">
        <v>1307</v>
      </c>
    </row>
    <row r="526" spans="1:8" s="255" customFormat="1">
      <c r="A526" s="326">
        <f t="shared" si="8"/>
        <v>517</v>
      </c>
      <c r="B526" s="327">
        <v>45230</v>
      </c>
      <c r="C526" s="328" t="s">
        <v>948</v>
      </c>
      <c r="D526" s="329" t="s">
        <v>688</v>
      </c>
      <c r="E526" s="328" t="s">
        <v>851</v>
      </c>
      <c r="F526" s="328" t="s">
        <v>795</v>
      </c>
      <c r="G526" s="116">
        <v>228.47</v>
      </c>
      <c r="H526" s="328" t="s">
        <v>1307</v>
      </c>
    </row>
    <row r="527" spans="1:8" s="255" customFormat="1">
      <c r="A527" s="326">
        <f t="shared" si="8"/>
        <v>518</v>
      </c>
      <c r="B527" s="327">
        <v>45230</v>
      </c>
      <c r="C527" s="328" t="s">
        <v>948</v>
      </c>
      <c r="D527" s="329" t="s">
        <v>688</v>
      </c>
      <c r="E527" s="328" t="s">
        <v>1137</v>
      </c>
      <c r="F527" s="330" t="s">
        <v>795</v>
      </c>
      <c r="G527" s="118">
        <v>145.81</v>
      </c>
      <c r="H527" s="328" t="s">
        <v>1307</v>
      </c>
    </row>
    <row r="528" spans="1:8" s="255" customFormat="1">
      <c r="A528" s="326">
        <f t="shared" si="8"/>
        <v>519</v>
      </c>
      <c r="B528" s="327">
        <v>45230</v>
      </c>
      <c r="C528" s="328" t="s">
        <v>907</v>
      </c>
      <c r="D528" s="328">
        <v>100157</v>
      </c>
      <c r="E528" s="255" t="s">
        <v>1138</v>
      </c>
      <c r="F528" s="330" t="s">
        <v>795</v>
      </c>
      <c r="G528" s="118">
        <v>43.8</v>
      </c>
      <c r="H528" s="328" t="s">
        <v>1307</v>
      </c>
    </row>
    <row r="529" spans="1:8" s="255" customFormat="1">
      <c r="A529" s="326">
        <f t="shared" si="8"/>
        <v>520</v>
      </c>
      <c r="B529" s="327">
        <v>45230</v>
      </c>
      <c r="C529" s="328" t="s">
        <v>948</v>
      </c>
      <c r="D529" s="328" t="s">
        <v>688</v>
      </c>
      <c r="E529" s="328" t="s">
        <v>955</v>
      </c>
      <c r="F529" s="330" t="s">
        <v>609</v>
      </c>
      <c r="G529" s="118">
        <v>2736.18</v>
      </c>
      <c r="H529" s="328" t="s">
        <v>1307</v>
      </c>
    </row>
    <row r="530" spans="1:8" s="255" customFormat="1">
      <c r="A530" s="326">
        <f t="shared" si="8"/>
        <v>521</v>
      </c>
      <c r="B530" s="327">
        <v>45230</v>
      </c>
      <c r="C530" s="328" t="s">
        <v>948</v>
      </c>
      <c r="D530" s="329" t="s">
        <v>688</v>
      </c>
      <c r="E530" s="255" t="s">
        <v>956</v>
      </c>
      <c r="F530" s="328" t="s">
        <v>609</v>
      </c>
      <c r="G530" s="118">
        <v>144.02000000000001</v>
      </c>
      <c r="H530" s="328" t="s">
        <v>1307</v>
      </c>
    </row>
    <row r="531" spans="1:8" s="255" customFormat="1">
      <c r="A531" s="326">
        <f t="shared" si="8"/>
        <v>522</v>
      </c>
      <c r="B531" s="327">
        <v>45230</v>
      </c>
      <c r="C531" s="328" t="s">
        <v>907</v>
      </c>
      <c r="D531" s="328">
        <v>100157</v>
      </c>
      <c r="E531" s="255" t="s">
        <v>991</v>
      </c>
      <c r="F531" s="330" t="s">
        <v>795</v>
      </c>
      <c r="G531" s="118">
        <v>66.67</v>
      </c>
      <c r="H531" s="328" t="s">
        <v>1307</v>
      </c>
    </row>
    <row r="532" spans="1:8" s="255" customFormat="1">
      <c r="A532" s="326">
        <f t="shared" si="8"/>
        <v>523</v>
      </c>
      <c r="B532" s="327">
        <v>45230</v>
      </c>
      <c r="C532" s="328" t="s">
        <v>948</v>
      </c>
      <c r="D532" s="329" t="s">
        <v>688</v>
      </c>
      <c r="E532" s="255" t="s">
        <v>1168</v>
      </c>
      <c r="F532" s="330" t="s">
        <v>795</v>
      </c>
      <c r="G532" s="118">
        <v>153</v>
      </c>
      <c r="H532" s="328" t="s">
        <v>1307</v>
      </c>
    </row>
    <row r="533" spans="1:8" s="255" customFormat="1">
      <c r="A533" s="326">
        <f t="shared" si="8"/>
        <v>524</v>
      </c>
      <c r="B533" s="327">
        <v>45230</v>
      </c>
      <c r="C533" s="328" t="s">
        <v>948</v>
      </c>
      <c r="D533" s="328" t="s">
        <v>688</v>
      </c>
      <c r="E533" s="328" t="s">
        <v>1311</v>
      </c>
      <c r="F533" s="328" t="s">
        <v>609</v>
      </c>
      <c r="G533" s="118">
        <v>3537.38</v>
      </c>
      <c r="H533" s="328" t="s">
        <v>1307</v>
      </c>
    </row>
    <row r="534" spans="1:8" s="255" customFormat="1">
      <c r="A534" s="326">
        <f t="shared" si="8"/>
        <v>525</v>
      </c>
      <c r="B534" s="327">
        <v>45230</v>
      </c>
      <c r="C534" s="328" t="s">
        <v>948</v>
      </c>
      <c r="D534" s="329" t="s">
        <v>688</v>
      </c>
      <c r="E534" s="255" t="s">
        <v>1026</v>
      </c>
      <c r="F534" s="328" t="s">
        <v>794</v>
      </c>
      <c r="G534" s="118">
        <v>747.76</v>
      </c>
      <c r="H534" s="328" t="s">
        <v>1307</v>
      </c>
    </row>
    <row r="535" spans="1:8" s="255" customFormat="1">
      <c r="A535" s="326">
        <f t="shared" si="8"/>
        <v>526</v>
      </c>
      <c r="B535" s="327">
        <v>45230</v>
      </c>
      <c r="C535" s="328" t="s">
        <v>948</v>
      </c>
      <c r="D535" s="328" t="s">
        <v>688</v>
      </c>
      <c r="E535" s="328" t="s">
        <v>1133</v>
      </c>
      <c r="F535" s="330" t="s">
        <v>795</v>
      </c>
      <c r="G535" s="118">
        <v>1033</v>
      </c>
      <c r="H535" s="328" t="s">
        <v>1307</v>
      </c>
    </row>
    <row r="536" spans="1:8" s="255" customFormat="1">
      <c r="A536" s="326">
        <f t="shared" si="8"/>
        <v>527</v>
      </c>
      <c r="B536" s="327">
        <v>45230</v>
      </c>
      <c r="C536" s="328" t="s">
        <v>948</v>
      </c>
      <c r="D536" s="329" t="s">
        <v>688</v>
      </c>
      <c r="E536" s="328" t="s">
        <v>993</v>
      </c>
      <c r="F536" s="328" t="s">
        <v>795</v>
      </c>
      <c r="G536" s="118">
        <v>140.72</v>
      </c>
      <c r="H536" s="328" t="s">
        <v>1308</v>
      </c>
    </row>
    <row r="537" spans="1:8" s="255" customFormat="1">
      <c r="A537" s="326">
        <f t="shared" si="8"/>
        <v>528</v>
      </c>
      <c r="B537" s="327">
        <v>45230</v>
      </c>
      <c r="C537" s="328" t="s">
        <v>948</v>
      </c>
      <c r="D537" s="329" t="s">
        <v>688</v>
      </c>
      <c r="E537" s="255" t="s">
        <v>1169</v>
      </c>
      <c r="F537" s="328" t="s">
        <v>609</v>
      </c>
      <c r="G537" s="118">
        <v>440</v>
      </c>
      <c r="H537" s="328" t="s">
        <v>1307</v>
      </c>
    </row>
    <row r="538" spans="1:8" s="255" customFormat="1">
      <c r="A538" s="326">
        <f t="shared" si="8"/>
        <v>529</v>
      </c>
      <c r="B538" s="327">
        <v>45230</v>
      </c>
      <c r="C538" s="328" t="s">
        <v>948</v>
      </c>
      <c r="D538" s="329" t="s">
        <v>688</v>
      </c>
      <c r="E538" s="328" t="s">
        <v>1020</v>
      </c>
      <c r="F538" s="328" t="s">
        <v>794</v>
      </c>
      <c r="G538" s="116">
        <v>450</v>
      </c>
      <c r="H538" s="328" t="s">
        <v>1307</v>
      </c>
    </row>
    <row r="539" spans="1:8" s="255" customFormat="1">
      <c r="A539" s="326">
        <f t="shared" si="8"/>
        <v>530</v>
      </c>
      <c r="B539" s="327">
        <v>45260</v>
      </c>
      <c r="C539" s="328" t="s">
        <v>907</v>
      </c>
      <c r="D539" s="328" t="s">
        <v>689</v>
      </c>
      <c r="E539" s="255" t="s">
        <v>1022</v>
      </c>
      <c r="F539" s="330" t="s">
        <v>795</v>
      </c>
      <c r="G539" s="118">
        <v>100</v>
      </c>
      <c r="H539" s="328" t="s">
        <v>1307</v>
      </c>
    </row>
    <row r="540" spans="1:8" s="255" customFormat="1">
      <c r="A540" s="326">
        <f t="shared" si="8"/>
        <v>531</v>
      </c>
      <c r="B540" s="327">
        <v>45260</v>
      </c>
      <c r="C540" s="328" t="s">
        <v>907</v>
      </c>
      <c r="D540" s="328" t="s">
        <v>689</v>
      </c>
      <c r="E540" s="255" t="s">
        <v>1022</v>
      </c>
      <c r="F540" s="330" t="s">
        <v>795</v>
      </c>
      <c r="G540" s="118">
        <v>50</v>
      </c>
      <c r="H540" s="328" t="s">
        <v>1307</v>
      </c>
    </row>
    <row r="541" spans="1:8" s="255" customFormat="1">
      <c r="A541" s="326">
        <f t="shared" si="8"/>
        <v>532</v>
      </c>
      <c r="B541" s="327">
        <v>45260</v>
      </c>
      <c r="C541" s="328" t="s">
        <v>948</v>
      </c>
      <c r="D541" s="329" t="s">
        <v>689</v>
      </c>
      <c r="E541" s="255" t="s">
        <v>1139</v>
      </c>
      <c r="F541" s="330" t="s">
        <v>795</v>
      </c>
      <c r="G541" s="118">
        <v>44.2</v>
      </c>
      <c r="H541" s="328" t="s">
        <v>1307</v>
      </c>
    </row>
    <row r="542" spans="1:8" s="255" customFormat="1">
      <c r="A542" s="326">
        <f t="shared" si="8"/>
        <v>533</v>
      </c>
      <c r="B542" s="327">
        <v>45260</v>
      </c>
      <c r="C542" s="328" t="s">
        <v>907</v>
      </c>
      <c r="D542" s="328" t="s">
        <v>689</v>
      </c>
      <c r="E542" s="255" t="s">
        <v>1313</v>
      </c>
      <c r="F542" s="330" t="s">
        <v>795</v>
      </c>
      <c r="G542" s="118">
        <v>583.33000000000004</v>
      </c>
      <c r="H542" s="328" t="s">
        <v>1307</v>
      </c>
    </row>
    <row r="543" spans="1:8" s="255" customFormat="1">
      <c r="A543" s="326">
        <f t="shared" si="8"/>
        <v>534</v>
      </c>
      <c r="B543" s="327">
        <v>45260</v>
      </c>
      <c r="C543" s="328" t="s">
        <v>948</v>
      </c>
      <c r="D543" s="328" t="s">
        <v>689</v>
      </c>
      <c r="E543" s="328" t="s">
        <v>1312</v>
      </c>
      <c r="F543" s="330" t="s">
        <v>609</v>
      </c>
      <c r="G543" s="118">
        <v>1000</v>
      </c>
      <c r="H543" s="328" t="s">
        <v>1307</v>
      </c>
    </row>
    <row r="544" spans="1:8" s="255" customFormat="1">
      <c r="A544" s="326">
        <f t="shared" si="8"/>
        <v>535</v>
      </c>
      <c r="B544" s="327">
        <v>45260</v>
      </c>
      <c r="C544" s="328" t="s">
        <v>948</v>
      </c>
      <c r="D544" s="329" t="s">
        <v>689</v>
      </c>
      <c r="E544" s="328" t="s">
        <v>1171</v>
      </c>
      <c r="F544" s="330" t="s">
        <v>794</v>
      </c>
      <c r="G544" s="116">
        <v>166.67</v>
      </c>
      <c r="H544" s="328" t="s">
        <v>1307</v>
      </c>
    </row>
    <row r="545" spans="1:8" s="255" customFormat="1">
      <c r="A545" s="326">
        <f t="shared" si="8"/>
        <v>536</v>
      </c>
      <c r="B545" s="327">
        <v>45260</v>
      </c>
      <c r="C545" s="328" t="s">
        <v>948</v>
      </c>
      <c r="D545" s="328" t="s">
        <v>689</v>
      </c>
      <c r="E545" s="328" t="s">
        <v>1132</v>
      </c>
      <c r="F545" s="330" t="s">
        <v>795</v>
      </c>
      <c r="G545" s="118">
        <v>493</v>
      </c>
      <c r="H545" s="328" t="s">
        <v>1307</v>
      </c>
    </row>
    <row r="546" spans="1:8" s="255" customFormat="1">
      <c r="A546" s="326">
        <f t="shared" si="8"/>
        <v>537</v>
      </c>
      <c r="B546" s="327">
        <v>45260</v>
      </c>
      <c r="C546" s="328" t="s">
        <v>948</v>
      </c>
      <c r="D546" s="328" t="s">
        <v>689</v>
      </c>
      <c r="E546" s="328" t="s">
        <v>987</v>
      </c>
      <c r="F546" s="328" t="s">
        <v>570</v>
      </c>
      <c r="G546" s="116">
        <v>1002</v>
      </c>
      <c r="H546" s="328" t="s">
        <v>1307</v>
      </c>
    </row>
    <row r="547" spans="1:8" s="255" customFormat="1">
      <c r="A547" s="326">
        <f t="shared" si="8"/>
        <v>538</v>
      </c>
      <c r="B547" s="327">
        <v>45260</v>
      </c>
      <c r="C547" s="328" t="s">
        <v>948</v>
      </c>
      <c r="D547" s="329" t="s">
        <v>689</v>
      </c>
      <c r="E547" s="328" t="s">
        <v>1130</v>
      </c>
      <c r="F547" s="328" t="s">
        <v>795</v>
      </c>
      <c r="G547" s="118">
        <v>45.53</v>
      </c>
      <c r="H547" s="328" t="s">
        <v>1307</v>
      </c>
    </row>
    <row r="548" spans="1:8" s="255" customFormat="1">
      <c r="A548" s="326">
        <f t="shared" si="8"/>
        <v>539</v>
      </c>
      <c r="B548" s="327">
        <v>45260</v>
      </c>
      <c r="C548" s="328" t="s">
        <v>907</v>
      </c>
      <c r="D548" s="328" t="s">
        <v>689</v>
      </c>
      <c r="E548" s="255" t="s">
        <v>1314</v>
      </c>
      <c r="F548" s="330" t="s">
        <v>795</v>
      </c>
      <c r="G548" s="118">
        <v>62.5</v>
      </c>
      <c r="H548" s="328" t="s">
        <v>1307</v>
      </c>
    </row>
    <row r="549" spans="1:8" s="255" customFormat="1">
      <c r="A549" s="326">
        <f t="shared" si="8"/>
        <v>540</v>
      </c>
      <c r="B549" s="327">
        <v>45260</v>
      </c>
      <c r="C549" s="328" t="s">
        <v>907</v>
      </c>
      <c r="D549" s="328" t="s">
        <v>689</v>
      </c>
      <c r="E549" s="255" t="s">
        <v>1015</v>
      </c>
      <c r="F549" s="330" t="s">
        <v>795</v>
      </c>
      <c r="G549" s="118">
        <v>75</v>
      </c>
      <c r="H549" s="328" t="s">
        <v>1307</v>
      </c>
    </row>
    <row r="550" spans="1:8" s="255" customFormat="1">
      <c r="A550" s="326">
        <f t="shared" si="8"/>
        <v>541</v>
      </c>
      <c r="B550" s="327">
        <v>45260</v>
      </c>
      <c r="C550" s="328" t="s">
        <v>948</v>
      </c>
      <c r="D550" s="329" t="s">
        <v>689</v>
      </c>
      <c r="E550" s="328" t="s">
        <v>870</v>
      </c>
      <c r="F550" s="330" t="s">
        <v>795</v>
      </c>
      <c r="G550" s="118">
        <v>41.67</v>
      </c>
      <c r="H550" s="328" t="s">
        <v>1307</v>
      </c>
    </row>
    <row r="551" spans="1:8" s="255" customFormat="1">
      <c r="A551" s="326">
        <f t="shared" si="8"/>
        <v>542</v>
      </c>
      <c r="B551" s="327">
        <v>45260</v>
      </c>
      <c r="C551" s="328" t="s">
        <v>948</v>
      </c>
      <c r="D551" s="329" t="s">
        <v>689</v>
      </c>
      <c r="E551" s="328" t="s">
        <v>852</v>
      </c>
      <c r="F551" s="328" t="s">
        <v>570</v>
      </c>
      <c r="G551" s="118">
        <v>41.67</v>
      </c>
      <c r="H551" s="328" t="s">
        <v>1307</v>
      </c>
    </row>
    <row r="552" spans="1:8" s="255" customFormat="1">
      <c r="A552" s="326">
        <f t="shared" si="8"/>
        <v>543</v>
      </c>
      <c r="B552" s="327">
        <v>45260</v>
      </c>
      <c r="C552" s="328" t="s">
        <v>948</v>
      </c>
      <c r="D552" s="329" t="s">
        <v>689</v>
      </c>
      <c r="E552" s="255" t="s">
        <v>949</v>
      </c>
      <c r="F552" s="330" t="s">
        <v>609</v>
      </c>
      <c r="G552" s="118">
        <v>179.13</v>
      </c>
      <c r="H552" s="328" t="s">
        <v>1307</v>
      </c>
    </row>
    <row r="553" spans="1:8" s="255" customFormat="1">
      <c r="A553" s="326">
        <f t="shared" si="8"/>
        <v>544</v>
      </c>
      <c r="B553" s="327">
        <v>45260</v>
      </c>
      <c r="C553" s="328" t="s">
        <v>948</v>
      </c>
      <c r="D553" s="329" t="s">
        <v>689</v>
      </c>
      <c r="E553" s="328" t="s">
        <v>909</v>
      </c>
      <c r="F553" s="328" t="s">
        <v>570</v>
      </c>
      <c r="G553" s="118">
        <v>52.78</v>
      </c>
      <c r="H553" s="328" t="s">
        <v>1307</v>
      </c>
    </row>
    <row r="554" spans="1:8" s="255" customFormat="1">
      <c r="A554" s="326">
        <f t="shared" si="8"/>
        <v>545</v>
      </c>
      <c r="B554" s="327">
        <v>45260</v>
      </c>
      <c r="C554" s="328" t="s">
        <v>948</v>
      </c>
      <c r="D554" s="329" t="s">
        <v>689</v>
      </c>
      <c r="E554" s="328" t="s">
        <v>988</v>
      </c>
      <c r="F554" s="328" t="s">
        <v>570</v>
      </c>
      <c r="G554" s="118">
        <v>200</v>
      </c>
      <c r="H554" s="328" t="s">
        <v>1308</v>
      </c>
    </row>
    <row r="555" spans="1:8" s="255" customFormat="1">
      <c r="A555" s="326">
        <f t="shared" si="8"/>
        <v>546</v>
      </c>
      <c r="B555" s="327">
        <v>45260</v>
      </c>
      <c r="C555" s="328" t="s">
        <v>948</v>
      </c>
      <c r="D555" s="329" t="s">
        <v>689</v>
      </c>
      <c r="E555" s="328" t="s">
        <v>1025</v>
      </c>
      <c r="F555" s="330" t="s">
        <v>609</v>
      </c>
      <c r="G555" s="116">
        <v>41.67</v>
      </c>
      <c r="H555" s="328" t="s">
        <v>1307</v>
      </c>
    </row>
    <row r="556" spans="1:8" s="255" customFormat="1">
      <c r="A556" s="326">
        <f t="shared" si="8"/>
        <v>547</v>
      </c>
      <c r="B556" s="327">
        <v>45260</v>
      </c>
      <c r="C556" s="328" t="s">
        <v>948</v>
      </c>
      <c r="D556" s="329" t="s">
        <v>689</v>
      </c>
      <c r="E556" s="328" t="s">
        <v>1023</v>
      </c>
      <c r="F556" s="328" t="s">
        <v>795</v>
      </c>
      <c r="G556" s="118">
        <v>45.53</v>
      </c>
      <c r="H556" s="328" t="s">
        <v>1307</v>
      </c>
    </row>
    <row r="557" spans="1:8" s="255" customFormat="1">
      <c r="A557" s="326">
        <f t="shared" si="8"/>
        <v>548</v>
      </c>
      <c r="B557" s="327">
        <v>45260</v>
      </c>
      <c r="C557" s="328" t="s">
        <v>948</v>
      </c>
      <c r="D557" s="329" t="s">
        <v>689</v>
      </c>
      <c r="E557" s="328" t="s">
        <v>1023</v>
      </c>
      <c r="F557" s="328" t="s">
        <v>570</v>
      </c>
      <c r="G557" s="118">
        <v>45.53</v>
      </c>
      <c r="H557" s="328" t="s">
        <v>1307</v>
      </c>
    </row>
    <row r="558" spans="1:8" s="255" customFormat="1">
      <c r="A558" s="326">
        <f t="shared" si="8"/>
        <v>549</v>
      </c>
      <c r="B558" s="327">
        <v>45260</v>
      </c>
      <c r="C558" s="328" t="s">
        <v>948</v>
      </c>
      <c r="D558" s="329" t="s">
        <v>689</v>
      </c>
      <c r="E558" s="328" t="s">
        <v>950</v>
      </c>
      <c r="F558" s="328" t="s">
        <v>609</v>
      </c>
      <c r="G558" s="118">
        <v>154.79</v>
      </c>
      <c r="H558" s="328" t="s">
        <v>1307</v>
      </c>
    </row>
    <row r="559" spans="1:8" s="255" customFormat="1">
      <c r="A559" s="326">
        <f t="shared" si="8"/>
        <v>550</v>
      </c>
      <c r="B559" s="327">
        <v>45260</v>
      </c>
      <c r="C559" s="328" t="s">
        <v>948</v>
      </c>
      <c r="D559" s="329" t="s">
        <v>689</v>
      </c>
      <c r="E559" s="328" t="s">
        <v>950</v>
      </c>
      <c r="F559" s="330" t="s">
        <v>609</v>
      </c>
      <c r="G559" s="118">
        <v>267.57</v>
      </c>
      <c r="H559" s="328" t="s">
        <v>1307</v>
      </c>
    </row>
    <row r="560" spans="1:8" s="255" customFormat="1">
      <c r="A560" s="326">
        <f t="shared" si="8"/>
        <v>551</v>
      </c>
      <c r="B560" s="327">
        <v>45260</v>
      </c>
      <c r="C560" s="328" t="s">
        <v>948</v>
      </c>
      <c r="D560" s="329" t="s">
        <v>689</v>
      </c>
      <c r="E560" s="328" t="s">
        <v>950</v>
      </c>
      <c r="F560" s="330" t="s">
        <v>570</v>
      </c>
      <c r="G560" s="116">
        <v>166.67</v>
      </c>
      <c r="H560" s="328" t="s">
        <v>1307</v>
      </c>
    </row>
    <row r="561" spans="1:8" s="255" customFormat="1">
      <c r="A561" s="326">
        <f t="shared" si="8"/>
        <v>552</v>
      </c>
      <c r="B561" s="327">
        <v>45260</v>
      </c>
      <c r="C561" s="328" t="s">
        <v>948</v>
      </c>
      <c r="D561" s="329" t="s">
        <v>689</v>
      </c>
      <c r="E561" s="328" t="s">
        <v>950</v>
      </c>
      <c r="F561" s="330" t="s">
        <v>609</v>
      </c>
      <c r="G561" s="116">
        <v>791.67</v>
      </c>
      <c r="H561" s="328" t="s">
        <v>1307</v>
      </c>
    </row>
    <row r="562" spans="1:8" s="255" customFormat="1">
      <c r="A562" s="326">
        <f t="shared" si="8"/>
        <v>553</v>
      </c>
      <c r="B562" s="327">
        <v>45260</v>
      </c>
      <c r="C562" s="328" t="s">
        <v>948</v>
      </c>
      <c r="D562" s="329" t="s">
        <v>689</v>
      </c>
      <c r="E562" s="328" t="s">
        <v>950</v>
      </c>
      <c r="F562" s="330" t="s">
        <v>609</v>
      </c>
      <c r="G562" s="118">
        <v>165</v>
      </c>
      <c r="H562" s="328" t="s">
        <v>1307</v>
      </c>
    </row>
    <row r="563" spans="1:8" s="255" customFormat="1">
      <c r="A563" s="326">
        <f t="shared" si="8"/>
        <v>554</v>
      </c>
      <c r="B563" s="327">
        <v>45260</v>
      </c>
      <c r="C563" s="328" t="s">
        <v>948</v>
      </c>
      <c r="D563" s="329" t="s">
        <v>689</v>
      </c>
      <c r="E563" s="328" t="s">
        <v>951</v>
      </c>
      <c r="F563" s="330" t="s">
        <v>570</v>
      </c>
      <c r="G563" s="118">
        <v>1990.11</v>
      </c>
      <c r="H563" s="328" t="s">
        <v>1307</v>
      </c>
    </row>
    <row r="564" spans="1:8" s="255" customFormat="1">
      <c r="A564" s="326">
        <f t="shared" si="8"/>
        <v>555</v>
      </c>
      <c r="B564" s="327">
        <v>45260</v>
      </c>
      <c r="C564" s="328" t="s">
        <v>948</v>
      </c>
      <c r="D564" s="329" t="s">
        <v>689</v>
      </c>
      <c r="E564" s="255" t="s">
        <v>952</v>
      </c>
      <c r="F564" s="330" t="s">
        <v>794</v>
      </c>
      <c r="G564" s="118">
        <v>953.64</v>
      </c>
      <c r="H564" s="328" t="s">
        <v>1307</v>
      </c>
    </row>
    <row r="565" spans="1:8" s="255" customFormat="1">
      <c r="A565" s="326">
        <f t="shared" si="8"/>
        <v>556</v>
      </c>
      <c r="B565" s="327">
        <v>45260</v>
      </c>
      <c r="C565" s="328" t="s">
        <v>948</v>
      </c>
      <c r="D565" s="329" t="s">
        <v>689</v>
      </c>
      <c r="E565" s="328" t="s">
        <v>898</v>
      </c>
      <c r="F565" s="330" t="s">
        <v>570</v>
      </c>
      <c r="G565" s="118">
        <v>-73.98</v>
      </c>
      <c r="H565" s="328" t="s">
        <v>1322</v>
      </c>
    </row>
    <row r="566" spans="1:8" s="255" customFormat="1">
      <c r="A566" s="326">
        <f t="shared" si="8"/>
        <v>557</v>
      </c>
      <c r="B566" s="327">
        <v>45260</v>
      </c>
      <c r="C566" s="328" t="s">
        <v>948</v>
      </c>
      <c r="D566" s="328" t="s">
        <v>689</v>
      </c>
      <c r="E566" s="328" t="s">
        <v>1129</v>
      </c>
      <c r="F566" s="328" t="s">
        <v>609</v>
      </c>
      <c r="G566" s="116">
        <v>939</v>
      </c>
      <c r="H566" s="328" t="s">
        <v>1307</v>
      </c>
    </row>
    <row r="567" spans="1:8" s="255" customFormat="1">
      <c r="A567" s="326">
        <f t="shared" si="8"/>
        <v>558</v>
      </c>
      <c r="B567" s="327">
        <v>45260</v>
      </c>
      <c r="C567" s="328" t="s">
        <v>948</v>
      </c>
      <c r="D567" s="328" t="s">
        <v>689</v>
      </c>
      <c r="E567" s="328" t="s">
        <v>945</v>
      </c>
      <c r="F567" s="330" t="s">
        <v>795</v>
      </c>
      <c r="G567" s="116">
        <v>877</v>
      </c>
      <c r="H567" s="328" t="s">
        <v>1307</v>
      </c>
    </row>
    <row r="568" spans="1:8" s="255" customFormat="1">
      <c r="A568" s="326">
        <f t="shared" si="8"/>
        <v>559</v>
      </c>
      <c r="B568" s="327">
        <v>45260</v>
      </c>
      <c r="C568" s="328" t="s">
        <v>948</v>
      </c>
      <c r="D568" s="329" t="s">
        <v>689</v>
      </c>
      <c r="E568" s="328" t="s">
        <v>1125</v>
      </c>
      <c r="F568" s="328" t="s">
        <v>570</v>
      </c>
      <c r="G568" s="118">
        <v>70.680000000000007</v>
      </c>
      <c r="H568" s="328" t="s">
        <v>1307</v>
      </c>
    </row>
    <row r="569" spans="1:8" s="255" customFormat="1">
      <c r="A569" s="326">
        <f t="shared" si="8"/>
        <v>560</v>
      </c>
      <c r="B569" s="327">
        <v>45260</v>
      </c>
      <c r="C569" s="328" t="s">
        <v>948</v>
      </c>
      <c r="D569" s="328" t="s">
        <v>689</v>
      </c>
      <c r="E569" s="328" t="s">
        <v>1320</v>
      </c>
      <c r="F569" s="330" t="s">
        <v>609</v>
      </c>
      <c r="G569" s="118">
        <v>1370</v>
      </c>
      <c r="H569" s="328" t="s">
        <v>1307</v>
      </c>
    </row>
    <row r="570" spans="1:8" s="255" customFormat="1">
      <c r="A570" s="326">
        <f t="shared" si="8"/>
        <v>561</v>
      </c>
      <c r="B570" s="327">
        <v>45260</v>
      </c>
      <c r="C570" s="328" t="s">
        <v>948</v>
      </c>
      <c r="D570" s="328" t="s">
        <v>689</v>
      </c>
      <c r="E570" s="328" t="s">
        <v>1310</v>
      </c>
      <c r="F570" s="330" t="s">
        <v>609</v>
      </c>
      <c r="G570" s="116">
        <v>2100</v>
      </c>
      <c r="H570" s="328" t="s">
        <v>1307</v>
      </c>
    </row>
    <row r="571" spans="1:8" s="255" customFormat="1">
      <c r="A571" s="326">
        <f t="shared" si="8"/>
        <v>562</v>
      </c>
      <c r="B571" s="327">
        <v>45260</v>
      </c>
      <c r="C571" s="328" t="s">
        <v>948</v>
      </c>
      <c r="D571" s="329" t="s">
        <v>689</v>
      </c>
      <c r="E571" s="328" t="s">
        <v>989</v>
      </c>
      <c r="F571" s="330" t="s">
        <v>609</v>
      </c>
      <c r="G571" s="118">
        <v>602.82000000000005</v>
      </c>
      <c r="H571" s="328" t="s">
        <v>1307</v>
      </c>
    </row>
    <row r="572" spans="1:8" s="255" customFormat="1">
      <c r="A572" s="326">
        <f t="shared" si="8"/>
        <v>563</v>
      </c>
      <c r="B572" s="327">
        <v>45260</v>
      </c>
      <c r="C572" s="328" t="s">
        <v>948</v>
      </c>
      <c r="D572" s="329" t="s">
        <v>689</v>
      </c>
      <c r="E572" s="328" t="s">
        <v>850</v>
      </c>
      <c r="F572" s="328" t="s">
        <v>609</v>
      </c>
      <c r="G572" s="118">
        <v>809.26</v>
      </c>
      <c r="H572" s="328" t="s">
        <v>1307</v>
      </c>
    </row>
    <row r="573" spans="1:8" s="255" customFormat="1">
      <c r="A573" s="326">
        <f t="shared" si="8"/>
        <v>564</v>
      </c>
      <c r="B573" s="327">
        <v>45260</v>
      </c>
      <c r="C573" s="328" t="s">
        <v>948</v>
      </c>
      <c r="D573" s="329" t="s">
        <v>689</v>
      </c>
      <c r="E573" s="255" t="s">
        <v>1172</v>
      </c>
      <c r="F573" s="330" t="s">
        <v>794</v>
      </c>
      <c r="G573" s="118">
        <v>83.37</v>
      </c>
      <c r="H573" s="328" t="s">
        <v>1307</v>
      </c>
    </row>
    <row r="574" spans="1:8" s="255" customFormat="1">
      <c r="A574" s="326">
        <f t="shared" si="8"/>
        <v>565</v>
      </c>
      <c r="B574" s="327">
        <v>45260</v>
      </c>
      <c r="C574" s="328" t="s">
        <v>948</v>
      </c>
      <c r="D574" s="329" t="s">
        <v>689</v>
      </c>
      <c r="E574" s="328" t="s">
        <v>1126</v>
      </c>
      <c r="F574" s="330" t="s">
        <v>795</v>
      </c>
      <c r="G574" s="118">
        <v>232.86</v>
      </c>
      <c r="H574" s="328" t="s">
        <v>1307</v>
      </c>
    </row>
    <row r="575" spans="1:8" s="255" customFormat="1">
      <c r="A575" s="326">
        <f t="shared" si="8"/>
        <v>566</v>
      </c>
      <c r="B575" s="327">
        <v>45260</v>
      </c>
      <c r="C575" s="328" t="s">
        <v>948</v>
      </c>
      <c r="D575" s="329" t="s">
        <v>689</v>
      </c>
      <c r="E575" s="328" t="s">
        <v>1024</v>
      </c>
      <c r="F575" s="330" t="s">
        <v>609</v>
      </c>
      <c r="G575" s="116">
        <v>45.53</v>
      </c>
      <c r="H575" s="328" t="s">
        <v>1307</v>
      </c>
    </row>
    <row r="576" spans="1:8" s="255" customFormat="1">
      <c r="A576" s="326">
        <f t="shared" si="8"/>
        <v>567</v>
      </c>
      <c r="B576" s="327">
        <v>45260</v>
      </c>
      <c r="C576" s="328" t="s">
        <v>907</v>
      </c>
      <c r="D576" s="328" t="s">
        <v>689</v>
      </c>
      <c r="E576" s="255" t="s">
        <v>1127</v>
      </c>
      <c r="F576" s="330" t="s">
        <v>795</v>
      </c>
      <c r="G576" s="118">
        <v>58.33</v>
      </c>
      <c r="H576" s="328" t="s">
        <v>1307</v>
      </c>
    </row>
    <row r="577" spans="1:8" s="255" customFormat="1">
      <c r="A577" s="326">
        <f t="shared" si="8"/>
        <v>568</v>
      </c>
      <c r="B577" s="327">
        <v>45260</v>
      </c>
      <c r="C577" s="328" t="s">
        <v>948</v>
      </c>
      <c r="D577" s="329" t="s">
        <v>689</v>
      </c>
      <c r="E577" s="328" t="s">
        <v>1018</v>
      </c>
      <c r="F577" s="328" t="s">
        <v>609</v>
      </c>
      <c r="G577" s="118">
        <v>41.67</v>
      </c>
      <c r="H577" s="328" t="s">
        <v>1307</v>
      </c>
    </row>
    <row r="578" spans="1:8" s="255" customFormat="1">
      <c r="A578" s="326">
        <f t="shared" si="8"/>
        <v>569</v>
      </c>
      <c r="B578" s="327">
        <v>45260</v>
      </c>
      <c r="C578" s="328" t="s">
        <v>948</v>
      </c>
      <c r="D578" s="328" t="s">
        <v>689</v>
      </c>
      <c r="E578" s="328" t="s">
        <v>1321</v>
      </c>
      <c r="F578" s="330" t="s">
        <v>609</v>
      </c>
      <c r="G578" s="116">
        <v>1370</v>
      </c>
      <c r="H578" s="328" t="s">
        <v>1307</v>
      </c>
    </row>
    <row r="579" spans="1:8" s="255" customFormat="1">
      <c r="A579" s="326">
        <f t="shared" si="8"/>
        <v>570</v>
      </c>
      <c r="B579" s="327">
        <v>45260</v>
      </c>
      <c r="C579" s="328" t="s">
        <v>948</v>
      </c>
      <c r="D579" s="329" t="s">
        <v>689</v>
      </c>
      <c r="E579" s="328" t="s">
        <v>954</v>
      </c>
      <c r="F579" s="328" t="s">
        <v>795</v>
      </c>
      <c r="G579" s="118">
        <v>41.67</v>
      </c>
      <c r="H579" s="328" t="s">
        <v>1307</v>
      </c>
    </row>
    <row r="580" spans="1:8" s="255" customFormat="1">
      <c r="A580" s="326">
        <f t="shared" si="8"/>
        <v>571</v>
      </c>
      <c r="B580" s="327">
        <v>45260</v>
      </c>
      <c r="C580" s="328" t="s">
        <v>948</v>
      </c>
      <c r="D580" s="329" t="s">
        <v>689</v>
      </c>
      <c r="E580" s="328" t="s">
        <v>954</v>
      </c>
      <c r="F580" s="330" t="s">
        <v>795</v>
      </c>
      <c r="G580" s="118">
        <v>66.67</v>
      </c>
      <c r="H580" s="328" t="s">
        <v>1307</v>
      </c>
    </row>
    <row r="581" spans="1:8" s="255" customFormat="1">
      <c r="A581" s="326">
        <f t="shared" si="8"/>
        <v>572</v>
      </c>
      <c r="B581" s="327">
        <v>45260</v>
      </c>
      <c r="C581" s="328" t="s">
        <v>948</v>
      </c>
      <c r="D581" s="329" t="s">
        <v>689</v>
      </c>
      <c r="E581" s="328" t="s">
        <v>1323</v>
      </c>
      <c r="F581" s="328" t="s">
        <v>570</v>
      </c>
      <c r="G581" s="118">
        <v>220</v>
      </c>
      <c r="H581" s="328" t="s">
        <v>1308</v>
      </c>
    </row>
    <row r="582" spans="1:8" s="255" customFormat="1">
      <c r="A582" s="326">
        <f t="shared" si="8"/>
        <v>573</v>
      </c>
      <c r="B582" s="327">
        <v>45260</v>
      </c>
      <c r="C582" s="328" t="s">
        <v>948</v>
      </c>
      <c r="D582" s="329" t="s">
        <v>689</v>
      </c>
      <c r="E582" s="328" t="s">
        <v>851</v>
      </c>
      <c r="F582" s="330" t="s">
        <v>795</v>
      </c>
      <c r="G582" s="116">
        <v>228.47</v>
      </c>
      <c r="H582" s="328" t="s">
        <v>1307</v>
      </c>
    </row>
    <row r="583" spans="1:8" s="255" customFormat="1">
      <c r="A583" s="326">
        <f t="shared" si="8"/>
        <v>574</v>
      </c>
      <c r="B583" s="327">
        <v>45260</v>
      </c>
      <c r="C583" s="328" t="s">
        <v>907</v>
      </c>
      <c r="D583" s="328" t="s">
        <v>689</v>
      </c>
      <c r="E583" s="255" t="s">
        <v>1136</v>
      </c>
      <c r="F583" s="330" t="s">
        <v>795</v>
      </c>
      <c r="G583" s="118">
        <v>2249.1000000000004</v>
      </c>
      <c r="H583" s="328" t="s">
        <v>1307</v>
      </c>
    </row>
    <row r="584" spans="1:8" s="255" customFormat="1">
      <c r="A584" s="326">
        <f t="shared" si="8"/>
        <v>575</v>
      </c>
      <c r="B584" s="327">
        <v>45260</v>
      </c>
      <c r="C584" s="328" t="s">
        <v>948</v>
      </c>
      <c r="D584" s="329" t="s">
        <v>689</v>
      </c>
      <c r="E584" s="328" t="s">
        <v>1137</v>
      </c>
      <c r="F584" s="330" t="s">
        <v>795</v>
      </c>
      <c r="G584" s="118">
        <v>145.81</v>
      </c>
      <c r="H584" s="328" t="s">
        <v>1307</v>
      </c>
    </row>
    <row r="585" spans="1:8" s="255" customFormat="1">
      <c r="A585" s="326">
        <f t="shared" si="8"/>
        <v>576</v>
      </c>
      <c r="B585" s="327">
        <v>45260</v>
      </c>
      <c r="C585" s="328" t="s">
        <v>907</v>
      </c>
      <c r="D585" s="328" t="s">
        <v>689</v>
      </c>
      <c r="E585" s="255" t="s">
        <v>1138</v>
      </c>
      <c r="F585" s="330" t="s">
        <v>795</v>
      </c>
      <c r="G585" s="118">
        <v>43.8</v>
      </c>
      <c r="H585" s="328" t="s">
        <v>1307</v>
      </c>
    </row>
    <row r="586" spans="1:8" s="255" customFormat="1">
      <c r="A586" s="326">
        <f t="shared" si="8"/>
        <v>577</v>
      </c>
      <c r="B586" s="327">
        <v>45260</v>
      </c>
      <c r="C586" s="328" t="s">
        <v>948</v>
      </c>
      <c r="D586" s="328" t="s">
        <v>689</v>
      </c>
      <c r="E586" s="328" t="s">
        <v>955</v>
      </c>
      <c r="F586" s="330" t="s">
        <v>609</v>
      </c>
      <c r="G586" s="118">
        <v>2736.18</v>
      </c>
      <c r="H586" s="328" t="s">
        <v>1307</v>
      </c>
    </row>
    <row r="587" spans="1:8" s="255" customFormat="1">
      <c r="A587" s="326">
        <f t="shared" si="8"/>
        <v>578</v>
      </c>
      <c r="B587" s="327">
        <v>45260</v>
      </c>
      <c r="C587" s="328" t="s">
        <v>948</v>
      </c>
      <c r="D587" s="329" t="s">
        <v>689</v>
      </c>
      <c r="E587" s="328" t="s">
        <v>956</v>
      </c>
      <c r="F587" s="328" t="s">
        <v>609</v>
      </c>
      <c r="G587" s="118">
        <v>144.02000000000001</v>
      </c>
      <c r="H587" s="328" t="s">
        <v>1307</v>
      </c>
    </row>
    <row r="588" spans="1:8" s="255" customFormat="1">
      <c r="A588" s="326">
        <f t="shared" ref="A588:A650" si="9">A587+1</f>
        <v>579</v>
      </c>
      <c r="B588" s="327">
        <v>45260</v>
      </c>
      <c r="C588" s="328" t="s">
        <v>907</v>
      </c>
      <c r="D588" s="328" t="s">
        <v>689</v>
      </c>
      <c r="E588" s="255" t="s">
        <v>991</v>
      </c>
      <c r="F588" s="330" t="s">
        <v>795</v>
      </c>
      <c r="G588" s="118">
        <v>66.67</v>
      </c>
      <c r="H588" s="328" t="s">
        <v>1307</v>
      </c>
    </row>
    <row r="589" spans="1:8" s="255" customFormat="1">
      <c r="A589" s="326">
        <f t="shared" si="9"/>
        <v>580</v>
      </c>
      <c r="B589" s="327">
        <v>45260</v>
      </c>
      <c r="C589" s="328" t="s">
        <v>948</v>
      </c>
      <c r="D589" s="329" t="s">
        <v>689</v>
      </c>
      <c r="E589" s="255" t="s">
        <v>1168</v>
      </c>
      <c r="F589" s="330" t="s">
        <v>795</v>
      </c>
      <c r="G589" s="118">
        <v>153</v>
      </c>
      <c r="H589" s="328" t="s">
        <v>1307</v>
      </c>
    </row>
    <row r="590" spans="1:8" s="255" customFormat="1">
      <c r="A590" s="326">
        <f t="shared" si="9"/>
        <v>581</v>
      </c>
      <c r="B590" s="327">
        <v>45260</v>
      </c>
      <c r="C590" s="328" t="s">
        <v>948</v>
      </c>
      <c r="D590" s="328" t="s">
        <v>689</v>
      </c>
      <c r="E590" s="328" t="s">
        <v>1311</v>
      </c>
      <c r="F590" s="328" t="s">
        <v>609</v>
      </c>
      <c r="G590" s="118">
        <v>3537.38</v>
      </c>
      <c r="H590" s="328" t="s">
        <v>1307</v>
      </c>
    </row>
    <row r="591" spans="1:8" s="255" customFormat="1">
      <c r="A591" s="326">
        <f t="shared" si="9"/>
        <v>582</v>
      </c>
      <c r="B591" s="327">
        <v>45260</v>
      </c>
      <c r="C591" s="328" t="s">
        <v>948</v>
      </c>
      <c r="D591" s="329" t="s">
        <v>689</v>
      </c>
      <c r="E591" s="328" t="s">
        <v>1026</v>
      </c>
      <c r="F591" s="328" t="s">
        <v>794</v>
      </c>
      <c r="G591" s="118">
        <v>747.76</v>
      </c>
      <c r="H591" s="328" t="s">
        <v>1307</v>
      </c>
    </row>
    <row r="592" spans="1:8" s="255" customFormat="1">
      <c r="A592" s="326">
        <f t="shared" si="9"/>
        <v>583</v>
      </c>
      <c r="B592" s="327">
        <v>45260</v>
      </c>
      <c r="C592" s="328" t="s">
        <v>948</v>
      </c>
      <c r="D592" s="328" t="s">
        <v>689</v>
      </c>
      <c r="E592" s="328" t="s">
        <v>1133</v>
      </c>
      <c r="F592" s="330" t="s">
        <v>795</v>
      </c>
      <c r="G592" s="118">
        <v>1033</v>
      </c>
      <c r="H592" s="328" t="s">
        <v>1307</v>
      </c>
    </row>
    <row r="593" spans="1:8" s="255" customFormat="1">
      <c r="A593" s="326">
        <f t="shared" si="9"/>
        <v>584</v>
      </c>
      <c r="B593" s="327">
        <v>45260</v>
      </c>
      <c r="C593" s="328" t="s">
        <v>907</v>
      </c>
      <c r="D593" s="328" t="s">
        <v>689</v>
      </c>
      <c r="E593" s="255" t="s">
        <v>1141</v>
      </c>
      <c r="F593" s="330" t="s">
        <v>570</v>
      </c>
      <c r="G593" s="118">
        <v>225.1</v>
      </c>
      <c r="H593" s="328" t="s">
        <v>1308</v>
      </c>
    </row>
    <row r="594" spans="1:8" s="255" customFormat="1">
      <c r="A594" s="326">
        <f t="shared" si="9"/>
        <v>585</v>
      </c>
      <c r="B594" s="327">
        <v>45260</v>
      </c>
      <c r="C594" s="328" t="s">
        <v>907</v>
      </c>
      <c r="D594" s="328" t="s">
        <v>689</v>
      </c>
      <c r="E594" s="255" t="s">
        <v>1324</v>
      </c>
      <c r="F594" s="330" t="s">
        <v>795</v>
      </c>
      <c r="G594" s="118">
        <v>275</v>
      </c>
      <c r="H594" s="328" t="s">
        <v>1308</v>
      </c>
    </row>
    <row r="595" spans="1:8" s="255" customFormat="1">
      <c r="A595" s="326">
        <f t="shared" si="9"/>
        <v>586</v>
      </c>
      <c r="B595" s="327">
        <v>45260</v>
      </c>
      <c r="C595" s="328" t="s">
        <v>948</v>
      </c>
      <c r="D595" s="329" t="s">
        <v>689</v>
      </c>
      <c r="E595" s="255" t="s">
        <v>1169</v>
      </c>
      <c r="F595" s="330" t="s">
        <v>609</v>
      </c>
      <c r="G595" s="118">
        <v>440</v>
      </c>
      <c r="H595" s="328" t="s">
        <v>1307</v>
      </c>
    </row>
    <row r="596" spans="1:8" s="255" customFormat="1">
      <c r="A596" s="326">
        <f t="shared" si="9"/>
        <v>587</v>
      </c>
      <c r="B596" s="327">
        <v>45260</v>
      </c>
      <c r="C596" s="328" t="s">
        <v>948</v>
      </c>
      <c r="D596" s="329" t="s">
        <v>689</v>
      </c>
      <c r="E596" s="328" t="s">
        <v>1020</v>
      </c>
      <c r="F596" s="328" t="s">
        <v>794</v>
      </c>
      <c r="G596" s="118">
        <v>450</v>
      </c>
      <c r="H596" s="328" t="s">
        <v>1307</v>
      </c>
    </row>
    <row r="597" spans="1:8" s="255" customFormat="1">
      <c r="A597" s="326">
        <f t="shared" si="9"/>
        <v>588</v>
      </c>
      <c r="B597" s="327">
        <v>45291</v>
      </c>
      <c r="C597" s="328" t="s">
        <v>907</v>
      </c>
      <c r="D597" s="328">
        <v>120157</v>
      </c>
      <c r="E597" s="255" t="s">
        <v>1022</v>
      </c>
      <c r="F597" s="330" t="s">
        <v>795</v>
      </c>
      <c r="G597" s="118">
        <v>100</v>
      </c>
      <c r="H597" s="328" t="s">
        <v>1307</v>
      </c>
    </row>
    <row r="598" spans="1:8" s="255" customFormat="1">
      <c r="A598" s="326">
        <f t="shared" si="9"/>
        <v>589</v>
      </c>
      <c r="B598" s="327">
        <v>45291</v>
      </c>
      <c r="C598" s="328" t="s">
        <v>907</v>
      </c>
      <c r="D598" s="328">
        <v>120157</v>
      </c>
      <c r="E598" s="255" t="s">
        <v>1022</v>
      </c>
      <c r="F598" s="330" t="s">
        <v>795</v>
      </c>
      <c r="G598" s="118">
        <v>50</v>
      </c>
      <c r="H598" s="328" t="s">
        <v>1307</v>
      </c>
    </row>
    <row r="599" spans="1:8" s="255" customFormat="1">
      <c r="A599" s="326">
        <f t="shared" si="9"/>
        <v>590</v>
      </c>
      <c r="B599" s="327">
        <v>45291</v>
      </c>
      <c r="C599" s="328" t="s">
        <v>948</v>
      </c>
      <c r="D599" s="329" t="s">
        <v>113</v>
      </c>
      <c r="E599" s="328" t="s">
        <v>1139</v>
      </c>
      <c r="F599" s="328" t="s">
        <v>795</v>
      </c>
      <c r="G599" s="118">
        <v>44.2</v>
      </c>
      <c r="H599" s="328" t="s">
        <v>1307</v>
      </c>
    </row>
    <row r="600" spans="1:8" s="255" customFormat="1">
      <c r="A600" s="326">
        <f t="shared" si="9"/>
        <v>591</v>
      </c>
      <c r="B600" s="327">
        <v>45291</v>
      </c>
      <c r="C600" s="328" t="s">
        <v>907</v>
      </c>
      <c r="D600" s="328">
        <v>120157</v>
      </c>
      <c r="E600" s="255" t="s">
        <v>1313</v>
      </c>
      <c r="F600" s="330" t="s">
        <v>795</v>
      </c>
      <c r="G600" s="118">
        <v>583.33000000000004</v>
      </c>
      <c r="H600" s="328" t="s">
        <v>1307</v>
      </c>
    </row>
    <row r="601" spans="1:8" s="255" customFormat="1">
      <c r="A601" s="326">
        <f t="shared" si="9"/>
        <v>592</v>
      </c>
      <c r="B601" s="327">
        <v>45291</v>
      </c>
      <c r="C601" s="328" t="s">
        <v>948</v>
      </c>
      <c r="D601" s="328" t="s">
        <v>113</v>
      </c>
      <c r="E601" s="328" t="s">
        <v>1312</v>
      </c>
      <c r="F601" s="330" t="s">
        <v>609</v>
      </c>
      <c r="G601" s="118">
        <v>1000</v>
      </c>
      <c r="H601" s="328" t="s">
        <v>1307</v>
      </c>
    </row>
    <row r="602" spans="1:8" s="255" customFormat="1">
      <c r="A602" s="326">
        <f t="shared" si="9"/>
        <v>593</v>
      </c>
      <c r="B602" s="327">
        <v>45291</v>
      </c>
      <c r="C602" s="328" t="s">
        <v>948</v>
      </c>
      <c r="D602" s="329" t="s">
        <v>113</v>
      </c>
      <c r="E602" s="328" t="s">
        <v>1171</v>
      </c>
      <c r="F602" s="330" t="s">
        <v>794</v>
      </c>
      <c r="G602" s="116">
        <v>166.63</v>
      </c>
      <c r="H602" s="328" t="s">
        <v>1307</v>
      </c>
    </row>
    <row r="603" spans="1:8" s="255" customFormat="1">
      <c r="A603" s="326">
        <f t="shared" si="9"/>
        <v>594</v>
      </c>
      <c r="B603" s="327">
        <v>45291</v>
      </c>
      <c r="C603" s="328" t="s">
        <v>948</v>
      </c>
      <c r="D603" s="328" t="s">
        <v>113</v>
      </c>
      <c r="E603" s="328" t="s">
        <v>1132</v>
      </c>
      <c r="F603" s="330" t="s">
        <v>795</v>
      </c>
      <c r="G603" s="118">
        <v>493</v>
      </c>
      <c r="H603" s="328" t="s">
        <v>1307</v>
      </c>
    </row>
    <row r="604" spans="1:8" s="255" customFormat="1">
      <c r="A604" s="326">
        <f t="shared" si="9"/>
        <v>595</v>
      </c>
      <c r="B604" s="327">
        <v>45291</v>
      </c>
      <c r="C604" s="328" t="s">
        <v>948</v>
      </c>
      <c r="D604" s="328" t="s">
        <v>113</v>
      </c>
      <c r="E604" s="328" t="s">
        <v>987</v>
      </c>
      <c r="F604" s="328" t="s">
        <v>570</v>
      </c>
      <c r="G604" s="116">
        <v>1002</v>
      </c>
      <c r="H604" s="328" t="s">
        <v>1307</v>
      </c>
    </row>
    <row r="605" spans="1:8" s="255" customFormat="1">
      <c r="A605" s="326">
        <f t="shared" si="9"/>
        <v>596</v>
      </c>
      <c r="B605" s="327">
        <v>45291</v>
      </c>
      <c r="C605" s="328" t="s">
        <v>948</v>
      </c>
      <c r="D605" s="329" t="s">
        <v>113</v>
      </c>
      <c r="E605" s="328" t="s">
        <v>1130</v>
      </c>
      <c r="F605" s="330" t="s">
        <v>795</v>
      </c>
      <c r="G605" s="116">
        <v>45.53</v>
      </c>
      <c r="H605" s="328" t="s">
        <v>1307</v>
      </c>
    </row>
    <row r="606" spans="1:8" s="255" customFormat="1">
      <c r="A606" s="326">
        <f t="shared" si="9"/>
        <v>597</v>
      </c>
      <c r="B606" s="327">
        <v>45291</v>
      </c>
      <c r="C606" s="328" t="s">
        <v>907</v>
      </c>
      <c r="D606" s="328">
        <v>120157</v>
      </c>
      <c r="E606" s="255" t="s">
        <v>1314</v>
      </c>
      <c r="F606" s="330" t="s">
        <v>795</v>
      </c>
      <c r="G606" s="118">
        <v>62.5</v>
      </c>
      <c r="H606" s="328" t="s">
        <v>1307</v>
      </c>
    </row>
    <row r="607" spans="1:8" s="255" customFormat="1">
      <c r="A607" s="326">
        <f t="shared" si="9"/>
        <v>598</v>
      </c>
      <c r="B607" s="327">
        <v>45291</v>
      </c>
      <c r="C607" s="328" t="s">
        <v>907</v>
      </c>
      <c r="D607" s="328">
        <v>120157</v>
      </c>
      <c r="E607" s="255" t="s">
        <v>1015</v>
      </c>
      <c r="F607" s="330" t="s">
        <v>795</v>
      </c>
      <c r="G607" s="118">
        <v>75</v>
      </c>
      <c r="H607" s="328" t="s">
        <v>1307</v>
      </c>
    </row>
    <row r="608" spans="1:8" s="255" customFormat="1">
      <c r="A608" s="326">
        <f t="shared" si="9"/>
        <v>599</v>
      </c>
      <c r="B608" s="327">
        <v>45291</v>
      </c>
      <c r="C608" s="328" t="s">
        <v>948</v>
      </c>
      <c r="D608" s="329" t="s">
        <v>113</v>
      </c>
      <c r="E608" s="328" t="s">
        <v>870</v>
      </c>
      <c r="F608" s="330" t="s">
        <v>795</v>
      </c>
      <c r="G608" s="116">
        <v>41.67</v>
      </c>
      <c r="H608" s="328" t="s">
        <v>1307</v>
      </c>
    </row>
    <row r="609" spans="1:8" s="255" customFormat="1">
      <c r="A609" s="326">
        <f t="shared" si="9"/>
        <v>600</v>
      </c>
      <c r="B609" s="327">
        <v>45291</v>
      </c>
      <c r="C609" s="328" t="s">
        <v>948</v>
      </c>
      <c r="D609" s="329" t="s">
        <v>113</v>
      </c>
      <c r="E609" s="328" t="s">
        <v>852</v>
      </c>
      <c r="F609" s="328" t="s">
        <v>570</v>
      </c>
      <c r="G609" s="118">
        <v>41.67</v>
      </c>
      <c r="H609" s="328" t="s">
        <v>1307</v>
      </c>
    </row>
    <row r="610" spans="1:8" s="255" customFormat="1">
      <c r="A610" s="326">
        <f t="shared" si="9"/>
        <v>601</v>
      </c>
      <c r="B610" s="327">
        <v>45291</v>
      </c>
      <c r="C610" s="328" t="s">
        <v>948</v>
      </c>
      <c r="D610" s="329" t="s">
        <v>113</v>
      </c>
      <c r="E610" s="328" t="s">
        <v>949</v>
      </c>
      <c r="F610" s="328" t="s">
        <v>609</v>
      </c>
      <c r="G610" s="118">
        <v>179.17</v>
      </c>
      <c r="H610" s="328" t="s">
        <v>1307</v>
      </c>
    </row>
    <row r="611" spans="1:8" s="255" customFormat="1">
      <c r="A611" s="326">
        <f t="shared" si="9"/>
        <v>602</v>
      </c>
      <c r="B611" s="327">
        <v>45291</v>
      </c>
      <c r="C611" s="328" t="s">
        <v>948</v>
      </c>
      <c r="D611" s="329" t="s">
        <v>113</v>
      </c>
      <c r="E611" s="328" t="s">
        <v>909</v>
      </c>
      <c r="F611" s="328" t="s">
        <v>570</v>
      </c>
      <c r="G611" s="118">
        <v>52.78</v>
      </c>
      <c r="H611" s="328" t="s">
        <v>1307</v>
      </c>
    </row>
    <row r="612" spans="1:8" s="255" customFormat="1">
      <c r="A612" s="326">
        <f t="shared" si="9"/>
        <v>603</v>
      </c>
      <c r="B612" s="327">
        <v>45291</v>
      </c>
      <c r="C612" s="328" t="s">
        <v>948</v>
      </c>
      <c r="D612" s="329" t="s">
        <v>113</v>
      </c>
      <c r="E612" s="328" t="s">
        <v>1025</v>
      </c>
      <c r="F612" s="330" t="s">
        <v>609</v>
      </c>
      <c r="G612" s="118">
        <v>41.63</v>
      </c>
      <c r="H612" s="328" t="s">
        <v>1307</v>
      </c>
    </row>
    <row r="613" spans="1:8" s="255" customFormat="1">
      <c r="A613" s="326">
        <f t="shared" si="9"/>
        <v>604</v>
      </c>
      <c r="B613" s="327">
        <v>45291</v>
      </c>
      <c r="C613" s="328" t="s">
        <v>948</v>
      </c>
      <c r="D613" s="329" t="s">
        <v>113</v>
      </c>
      <c r="E613" s="328" t="s">
        <v>1023</v>
      </c>
      <c r="F613" s="328" t="s">
        <v>795</v>
      </c>
      <c r="G613" s="118">
        <v>45.53</v>
      </c>
      <c r="H613" s="328" t="s">
        <v>1307</v>
      </c>
    </row>
    <row r="614" spans="1:8" s="255" customFormat="1">
      <c r="A614" s="326">
        <f t="shared" si="9"/>
        <v>605</v>
      </c>
      <c r="B614" s="327">
        <v>45291</v>
      </c>
      <c r="C614" s="328" t="s">
        <v>948</v>
      </c>
      <c r="D614" s="329" t="s">
        <v>113</v>
      </c>
      <c r="E614" s="328" t="s">
        <v>1023</v>
      </c>
      <c r="F614" s="328" t="s">
        <v>570</v>
      </c>
      <c r="G614" s="118">
        <v>45.53</v>
      </c>
      <c r="H614" s="328" t="s">
        <v>1307</v>
      </c>
    </row>
    <row r="615" spans="1:8" s="255" customFormat="1">
      <c r="A615" s="326">
        <f t="shared" si="9"/>
        <v>606</v>
      </c>
      <c r="B615" s="327">
        <v>45291</v>
      </c>
      <c r="C615" s="328" t="s">
        <v>948</v>
      </c>
      <c r="D615" s="329" t="s">
        <v>113</v>
      </c>
      <c r="E615" s="328" t="s">
        <v>950</v>
      </c>
      <c r="F615" s="328" t="s">
        <v>609</v>
      </c>
      <c r="G615" s="118">
        <v>154.84</v>
      </c>
      <c r="H615" s="328" t="s">
        <v>1307</v>
      </c>
    </row>
    <row r="616" spans="1:8" s="255" customFormat="1">
      <c r="A616" s="326">
        <f t="shared" si="9"/>
        <v>607</v>
      </c>
      <c r="B616" s="327">
        <v>45291</v>
      </c>
      <c r="C616" s="328" t="s">
        <v>948</v>
      </c>
      <c r="D616" s="329" t="s">
        <v>113</v>
      </c>
      <c r="E616" s="328" t="s">
        <v>950</v>
      </c>
      <c r="F616" s="330" t="s">
        <v>609</v>
      </c>
      <c r="G616" s="118">
        <v>267.57</v>
      </c>
      <c r="H616" s="328" t="s">
        <v>1307</v>
      </c>
    </row>
    <row r="617" spans="1:8" s="255" customFormat="1">
      <c r="A617" s="326">
        <f t="shared" si="9"/>
        <v>608</v>
      </c>
      <c r="B617" s="327">
        <v>45291</v>
      </c>
      <c r="C617" s="328" t="s">
        <v>948</v>
      </c>
      <c r="D617" s="329" t="s">
        <v>113</v>
      </c>
      <c r="E617" s="328" t="s">
        <v>950</v>
      </c>
      <c r="F617" s="328" t="s">
        <v>570</v>
      </c>
      <c r="G617" s="118">
        <v>166.67</v>
      </c>
      <c r="H617" s="328" t="s">
        <v>1307</v>
      </c>
    </row>
    <row r="618" spans="1:8" s="255" customFormat="1">
      <c r="A618" s="326">
        <f t="shared" si="9"/>
        <v>609</v>
      </c>
      <c r="B618" s="327">
        <v>45291</v>
      </c>
      <c r="C618" s="328" t="s">
        <v>948</v>
      </c>
      <c r="D618" s="329" t="s">
        <v>113</v>
      </c>
      <c r="E618" s="328" t="s">
        <v>950</v>
      </c>
      <c r="F618" s="330" t="s">
        <v>609</v>
      </c>
      <c r="G618" s="116">
        <v>791.67</v>
      </c>
      <c r="H618" s="328" t="s">
        <v>1307</v>
      </c>
    </row>
    <row r="619" spans="1:8" s="255" customFormat="1">
      <c r="A619" s="326">
        <f t="shared" si="9"/>
        <v>610</v>
      </c>
      <c r="B619" s="327">
        <v>45291</v>
      </c>
      <c r="C619" s="328" t="s">
        <v>948</v>
      </c>
      <c r="D619" s="329" t="s">
        <v>113</v>
      </c>
      <c r="E619" s="328" t="s">
        <v>950</v>
      </c>
      <c r="F619" s="328" t="s">
        <v>609</v>
      </c>
      <c r="G619" s="118">
        <v>165</v>
      </c>
      <c r="H619" s="328" t="s">
        <v>1307</v>
      </c>
    </row>
    <row r="620" spans="1:8" s="255" customFormat="1">
      <c r="A620" s="326">
        <f t="shared" si="9"/>
        <v>611</v>
      </c>
      <c r="B620" s="327">
        <v>45291</v>
      </c>
      <c r="C620" s="328" t="s">
        <v>948</v>
      </c>
      <c r="D620" s="329" t="s">
        <v>113</v>
      </c>
      <c r="E620" s="328" t="s">
        <v>951</v>
      </c>
      <c r="F620" s="330" t="s">
        <v>570</v>
      </c>
      <c r="G620" s="116">
        <v>1990.06</v>
      </c>
      <c r="H620" s="328" t="s">
        <v>1307</v>
      </c>
    </row>
    <row r="621" spans="1:8" s="255" customFormat="1">
      <c r="A621" s="326">
        <f t="shared" si="9"/>
        <v>612</v>
      </c>
      <c r="B621" s="327">
        <v>45291</v>
      </c>
      <c r="C621" s="328" t="s">
        <v>948</v>
      </c>
      <c r="D621" s="329" t="s">
        <v>113</v>
      </c>
      <c r="E621" s="328" t="s">
        <v>952</v>
      </c>
      <c r="F621" s="328" t="s">
        <v>794</v>
      </c>
      <c r="G621" s="118">
        <v>953.66</v>
      </c>
      <c r="H621" s="328" t="s">
        <v>1307</v>
      </c>
    </row>
    <row r="622" spans="1:8" s="255" customFormat="1">
      <c r="A622" s="326">
        <f t="shared" si="9"/>
        <v>613</v>
      </c>
      <c r="B622" s="327">
        <v>45291</v>
      </c>
      <c r="C622" s="328" t="s">
        <v>948</v>
      </c>
      <c r="D622" s="328" t="s">
        <v>113</v>
      </c>
      <c r="E622" s="328" t="s">
        <v>1129</v>
      </c>
      <c r="F622" s="328" t="s">
        <v>609</v>
      </c>
      <c r="G622" s="116">
        <v>939</v>
      </c>
      <c r="H622" s="328" t="s">
        <v>1307</v>
      </c>
    </row>
    <row r="623" spans="1:8" s="255" customFormat="1">
      <c r="A623" s="326">
        <f t="shared" si="9"/>
        <v>614</v>
      </c>
      <c r="B623" s="327">
        <v>45291</v>
      </c>
      <c r="C623" s="328" t="s">
        <v>948</v>
      </c>
      <c r="D623" s="328" t="s">
        <v>113</v>
      </c>
      <c r="E623" s="328" t="s">
        <v>945</v>
      </c>
      <c r="F623" s="330" t="s">
        <v>795</v>
      </c>
      <c r="G623" s="116">
        <v>877</v>
      </c>
      <c r="H623" s="328" t="s">
        <v>1307</v>
      </c>
    </row>
    <row r="624" spans="1:8" s="255" customFormat="1">
      <c r="A624" s="326">
        <f t="shared" si="9"/>
        <v>615</v>
      </c>
      <c r="B624" s="327">
        <v>45291</v>
      </c>
      <c r="C624" s="328" t="s">
        <v>948</v>
      </c>
      <c r="D624" s="329" t="s">
        <v>113</v>
      </c>
      <c r="E624" s="328" t="s">
        <v>1125</v>
      </c>
      <c r="F624" s="330" t="s">
        <v>570</v>
      </c>
      <c r="G624" s="116">
        <v>70.680000000000007</v>
      </c>
      <c r="H624" s="328" t="s">
        <v>1307</v>
      </c>
    </row>
    <row r="625" spans="1:8" s="255" customFormat="1">
      <c r="A625" s="326">
        <f t="shared" si="9"/>
        <v>616</v>
      </c>
      <c r="B625" s="327">
        <v>45291</v>
      </c>
      <c r="C625" s="328" t="s">
        <v>948</v>
      </c>
      <c r="D625" s="328" t="s">
        <v>113</v>
      </c>
      <c r="E625" s="328" t="s">
        <v>1320</v>
      </c>
      <c r="F625" s="330" t="s">
        <v>609</v>
      </c>
      <c r="G625" s="118">
        <v>1370</v>
      </c>
      <c r="H625" s="328" t="s">
        <v>1307</v>
      </c>
    </row>
    <row r="626" spans="1:8" s="255" customFormat="1">
      <c r="A626" s="326">
        <f t="shared" si="9"/>
        <v>617</v>
      </c>
      <c r="B626" s="327">
        <v>45291</v>
      </c>
      <c r="C626" s="328" t="s">
        <v>948</v>
      </c>
      <c r="D626" s="328" t="s">
        <v>113</v>
      </c>
      <c r="E626" s="328" t="s">
        <v>1310</v>
      </c>
      <c r="F626" s="330" t="s">
        <v>609</v>
      </c>
      <c r="G626" s="116">
        <v>2100</v>
      </c>
      <c r="H626" s="328" t="s">
        <v>1307</v>
      </c>
    </row>
    <row r="627" spans="1:8" s="255" customFormat="1">
      <c r="A627" s="326">
        <f t="shared" si="9"/>
        <v>618</v>
      </c>
      <c r="B627" s="327">
        <v>45291</v>
      </c>
      <c r="C627" s="328" t="s">
        <v>948</v>
      </c>
      <c r="D627" s="329" t="s">
        <v>113</v>
      </c>
      <c r="E627" s="328" t="s">
        <v>989</v>
      </c>
      <c r="F627" s="328" t="s">
        <v>609</v>
      </c>
      <c r="G627" s="118">
        <v>602.82000000000005</v>
      </c>
      <c r="H627" s="328" t="s">
        <v>1307</v>
      </c>
    </row>
    <row r="628" spans="1:8" s="255" customFormat="1">
      <c r="A628" s="326">
        <f t="shared" si="9"/>
        <v>619</v>
      </c>
      <c r="B628" s="327">
        <v>45291</v>
      </c>
      <c r="C628" s="328" t="s">
        <v>948</v>
      </c>
      <c r="D628" s="329" t="s">
        <v>113</v>
      </c>
      <c r="E628" s="328" t="s">
        <v>850</v>
      </c>
      <c r="F628" s="330" t="s">
        <v>609</v>
      </c>
      <c r="G628" s="118">
        <v>825.41</v>
      </c>
      <c r="H628" s="328" t="s">
        <v>1307</v>
      </c>
    </row>
    <row r="629" spans="1:8" s="255" customFormat="1">
      <c r="A629" s="326">
        <f t="shared" si="9"/>
        <v>620</v>
      </c>
      <c r="B629" s="327">
        <v>45291</v>
      </c>
      <c r="C629" s="328" t="s">
        <v>948</v>
      </c>
      <c r="D629" s="329" t="s">
        <v>113</v>
      </c>
      <c r="E629" s="255" t="s">
        <v>1172</v>
      </c>
      <c r="F629" s="330" t="s">
        <v>794</v>
      </c>
      <c r="G629" s="118">
        <v>83.33</v>
      </c>
      <c r="H629" s="328" t="s">
        <v>1307</v>
      </c>
    </row>
    <row r="630" spans="1:8" s="255" customFormat="1">
      <c r="A630" s="326">
        <f t="shared" si="9"/>
        <v>621</v>
      </c>
      <c r="B630" s="327">
        <v>45291</v>
      </c>
      <c r="C630" s="328" t="s">
        <v>948</v>
      </c>
      <c r="D630" s="329" t="s">
        <v>113</v>
      </c>
      <c r="E630" s="255" t="s">
        <v>1126</v>
      </c>
      <c r="F630" s="330" t="s">
        <v>795</v>
      </c>
      <c r="G630" s="118">
        <v>232.86</v>
      </c>
      <c r="H630" s="328" t="s">
        <v>1307</v>
      </c>
    </row>
    <row r="631" spans="1:8" s="255" customFormat="1">
      <c r="A631" s="326">
        <f t="shared" si="9"/>
        <v>622</v>
      </c>
      <c r="B631" s="327">
        <v>45291</v>
      </c>
      <c r="C631" s="328" t="s">
        <v>948</v>
      </c>
      <c r="D631" s="329" t="s">
        <v>113</v>
      </c>
      <c r="E631" s="328" t="s">
        <v>1024</v>
      </c>
      <c r="F631" s="330" t="s">
        <v>609</v>
      </c>
      <c r="G631" s="118">
        <v>45.53</v>
      </c>
      <c r="H631" s="328" t="s">
        <v>1307</v>
      </c>
    </row>
    <row r="632" spans="1:8" s="255" customFormat="1">
      <c r="A632" s="326">
        <f t="shared" si="9"/>
        <v>623</v>
      </c>
      <c r="B632" s="327">
        <v>45291</v>
      </c>
      <c r="C632" s="328" t="s">
        <v>907</v>
      </c>
      <c r="D632" s="328">
        <v>120157</v>
      </c>
      <c r="E632" s="255" t="s">
        <v>1127</v>
      </c>
      <c r="F632" s="330" t="s">
        <v>795</v>
      </c>
      <c r="G632" s="118">
        <v>58.37</v>
      </c>
      <c r="H632" s="328" t="s">
        <v>1307</v>
      </c>
    </row>
    <row r="633" spans="1:8" s="255" customFormat="1">
      <c r="A633" s="326">
        <f t="shared" si="9"/>
        <v>624</v>
      </c>
      <c r="B633" s="327">
        <v>45291</v>
      </c>
      <c r="C633" s="328" t="s">
        <v>948</v>
      </c>
      <c r="D633" s="329" t="s">
        <v>113</v>
      </c>
      <c r="E633" s="328" t="s">
        <v>1173</v>
      </c>
      <c r="F633" s="330" t="s">
        <v>795</v>
      </c>
      <c r="G633" s="116">
        <v>500</v>
      </c>
      <c r="H633" s="328" t="s">
        <v>1308</v>
      </c>
    </row>
    <row r="634" spans="1:8" s="255" customFormat="1">
      <c r="A634" s="326">
        <f t="shared" si="9"/>
        <v>625</v>
      </c>
      <c r="B634" s="327">
        <v>45291</v>
      </c>
      <c r="C634" s="328" t="s">
        <v>948</v>
      </c>
      <c r="D634" s="329" t="s">
        <v>113</v>
      </c>
      <c r="E634" s="328" t="s">
        <v>1018</v>
      </c>
      <c r="F634" s="330" t="s">
        <v>609</v>
      </c>
      <c r="G634" s="116">
        <v>41.63</v>
      </c>
      <c r="H634" s="328" t="s">
        <v>1307</v>
      </c>
    </row>
    <row r="635" spans="1:8" s="255" customFormat="1">
      <c r="A635" s="326">
        <f t="shared" si="9"/>
        <v>626</v>
      </c>
      <c r="B635" s="327">
        <v>45291</v>
      </c>
      <c r="C635" s="328" t="s">
        <v>948</v>
      </c>
      <c r="D635" s="328" t="s">
        <v>113</v>
      </c>
      <c r="E635" s="328" t="s">
        <v>1321</v>
      </c>
      <c r="F635" s="330" t="s">
        <v>609</v>
      </c>
      <c r="G635" s="116">
        <v>1370</v>
      </c>
      <c r="H635" s="328" t="s">
        <v>1307</v>
      </c>
    </row>
    <row r="636" spans="1:8" s="255" customFormat="1">
      <c r="A636" s="326">
        <f t="shared" si="9"/>
        <v>627</v>
      </c>
      <c r="B636" s="327">
        <v>45291</v>
      </c>
      <c r="C636" s="328" t="s">
        <v>948</v>
      </c>
      <c r="D636" s="329" t="s">
        <v>113</v>
      </c>
      <c r="E636" s="255" t="s">
        <v>954</v>
      </c>
      <c r="F636" s="330" t="s">
        <v>795</v>
      </c>
      <c r="G636" s="118">
        <v>41.67</v>
      </c>
      <c r="H636" s="328" t="s">
        <v>1307</v>
      </c>
    </row>
    <row r="637" spans="1:8" s="255" customFormat="1">
      <c r="A637" s="326">
        <f t="shared" si="9"/>
        <v>628</v>
      </c>
      <c r="B637" s="327">
        <v>45291</v>
      </c>
      <c r="C637" s="328" t="s">
        <v>948</v>
      </c>
      <c r="D637" s="329" t="s">
        <v>113</v>
      </c>
      <c r="E637" s="328" t="s">
        <v>954</v>
      </c>
      <c r="F637" s="328" t="s">
        <v>795</v>
      </c>
      <c r="G637" s="118">
        <v>66.67</v>
      </c>
      <c r="H637" s="328" t="s">
        <v>1307</v>
      </c>
    </row>
    <row r="638" spans="1:8" s="255" customFormat="1">
      <c r="A638" s="326">
        <f t="shared" si="9"/>
        <v>629</v>
      </c>
      <c r="B638" s="327">
        <v>45291</v>
      </c>
      <c r="C638" s="328" t="s">
        <v>948</v>
      </c>
      <c r="D638" s="329" t="s">
        <v>113</v>
      </c>
      <c r="E638" s="255" t="s">
        <v>851</v>
      </c>
      <c r="F638" s="330" t="s">
        <v>795</v>
      </c>
      <c r="G638" s="118">
        <v>228.47</v>
      </c>
      <c r="H638" s="328" t="s">
        <v>1307</v>
      </c>
    </row>
    <row r="639" spans="1:8" s="255" customFormat="1">
      <c r="A639" s="326">
        <f t="shared" si="9"/>
        <v>630</v>
      </c>
      <c r="B639" s="327">
        <v>45291</v>
      </c>
      <c r="C639" s="328" t="s">
        <v>907</v>
      </c>
      <c r="D639" s="328">
        <v>120157</v>
      </c>
      <c r="E639" s="255" t="s">
        <v>1136</v>
      </c>
      <c r="F639" s="330" t="s">
        <v>795</v>
      </c>
      <c r="G639" s="118">
        <v>374.85</v>
      </c>
      <c r="H639" s="328" t="s">
        <v>1307</v>
      </c>
    </row>
    <row r="640" spans="1:8" s="255" customFormat="1">
      <c r="A640" s="326">
        <f t="shared" si="9"/>
        <v>631</v>
      </c>
      <c r="B640" s="327">
        <v>45291</v>
      </c>
      <c r="C640" s="328" t="s">
        <v>948</v>
      </c>
      <c r="D640" s="329" t="s">
        <v>113</v>
      </c>
      <c r="E640" s="328" t="s">
        <v>1137</v>
      </c>
      <c r="F640" s="328" t="s">
        <v>795</v>
      </c>
      <c r="G640" s="118">
        <v>145.81</v>
      </c>
      <c r="H640" s="328" t="s">
        <v>1307</v>
      </c>
    </row>
    <row r="641" spans="1:9" s="255" customFormat="1">
      <c r="A641" s="326">
        <f t="shared" si="9"/>
        <v>632</v>
      </c>
      <c r="B641" s="327">
        <v>45291</v>
      </c>
      <c r="C641" s="328" t="s">
        <v>907</v>
      </c>
      <c r="D641" s="328">
        <v>120157</v>
      </c>
      <c r="E641" s="255" t="s">
        <v>1138</v>
      </c>
      <c r="F641" s="330" t="s">
        <v>795</v>
      </c>
      <c r="G641" s="118">
        <v>43.8</v>
      </c>
      <c r="H641" s="328" t="s">
        <v>1307</v>
      </c>
    </row>
    <row r="642" spans="1:9" s="255" customFormat="1">
      <c r="A642" s="326">
        <f t="shared" si="9"/>
        <v>633</v>
      </c>
      <c r="B642" s="327">
        <v>45291</v>
      </c>
      <c r="C642" s="328" t="s">
        <v>948</v>
      </c>
      <c r="D642" s="328" t="s">
        <v>113</v>
      </c>
      <c r="E642" s="328" t="s">
        <v>955</v>
      </c>
      <c r="F642" s="330" t="s">
        <v>609</v>
      </c>
      <c r="G642" s="118">
        <v>2736.18</v>
      </c>
      <c r="H642" s="328" t="s">
        <v>1307</v>
      </c>
    </row>
    <row r="643" spans="1:9" s="255" customFormat="1">
      <c r="A643" s="326">
        <f t="shared" si="9"/>
        <v>634</v>
      </c>
      <c r="B643" s="327">
        <v>45291</v>
      </c>
      <c r="C643" s="328" t="s">
        <v>948</v>
      </c>
      <c r="D643" s="329" t="s">
        <v>113</v>
      </c>
      <c r="E643" s="328" t="s">
        <v>956</v>
      </c>
      <c r="F643" s="330" t="s">
        <v>609</v>
      </c>
      <c r="G643" s="118">
        <v>144.02000000000001</v>
      </c>
      <c r="H643" s="328" t="s">
        <v>1307</v>
      </c>
    </row>
    <row r="644" spans="1:9" s="255" customFormat="1">
      <c r="A644" s="326">
        <f t="shared" si="9"/>
        <v>635</v>
      </c>
      <c r="B644" s="327">
        <v>45291</v>
      </c>
      <c r="C644" s="328" t="s">
        <v>907</v>
      </c>
      <c r="D644" s="328">
        <v>120157</v>
      </c>
      <c r="E644" s="255" t="s">
        <v>991</v>
      </c>
      <c r="F644" s="330" t="s">
        <v>795</v>
      </c>
      <c r="G644" s="118">
        <v>66.67</v>
      </c>
      <c r="H644" s="328" t="s">
        <v>1307</v>
      </c>
    </row>
    <row r="645" spans="1:9" s="255" customFormat="1">
      <c r="A645" s="326">
        <f t="shared" si="9"/>
        <v>636</v>
      </c>
      <c r="B645" s="327">
        <v>45291</v>
      </c>
      <c r="C645" s="328" t="s">
        <v>948</v>
      </c>
      <c r="D645" s="329" t="s">
        <v>113</v>
      </c>
      <c r="E645" s="328" t="s">
        <v>1168</v>
      </c>
      <c r="F645" s="328" t="s">
        <v>795</v>
      </c>
      <c r="G645" s="118">
        <v>153</v>
      </c>
      <c r="H645" s="328" t="s">
        <v>1307</v>
      </c>
    </row>
    <row r="646" spans="1:9" s="255" customFormat="1">
      <c r="A646" s="326">
        <f t="shared" si="9"/>
        <v>637</v>
      </c>
      <c r="B646" s="327">
        <v>45291</v>
      </c>
      <c r="C646" s="328" t="s">
        <v>948</v>
      </c>
      <c r="D646" s="328" t="s">
        <v>113</v>
      </c>
      <c r="E646" s="328" t="s">
        <v>1311</v>
      </c>
      <c r="F646" s="328" t="s">
        <v>609</v>
      </c>
      <c r="G646" s="118">
        <v>3537.38</v>
      </c>
      <c r="H646" s="328" t="s">
        <v>1307</v>
      </c>
    </row>
    <row r="647" spans="1:9" s="255" customFormat="1">
      <c r="A647" s="326">
        <f t="shared" si="9"/>
        <v>638</v>
      </c>
      <c r="B647" s="327">
        <v>45291</v>
      </c>
      <c r="C647" s="328" t="s">
        <v>948</v>
      </c>
      <c r="D647" s="329" t="s">
        <v>113</v>
      </c>
      <c r="E647" s="328" t="s">
        <v>1026</v>
      </c>
      <c r="F647" s="330" t="s">
        <v>794</v>
      </c>
      <c r="G647" s="118">
        <v>747.76</v>
      </c>
      <c r="H647" s="328" t="s">
        <v>1307</v>
      </c>
    </row>
    <row r="648" spans="1:9" s="255" customFormat="1">
      <c r="A648" s="326">
        <f t="shared" si="9"/>
        <v>639</v>
      </c>
      <c r="B648" s="327">
        <v>45291</v>
      </c>
      <c r="C648" s="328" t="s">
        <v>948</v>
      </c>
      <c r="D648" s="328" t="s">
        <v>113</v>
      </c>
      <c r="E648" s="328" t="s">
        <v>1133</v>
      </c>
      <c r="F648" s="330" t="s">
        <v>795</v>
      </c>
      <c r="G648" s="118">
        <v>1033</v>
      </c>
      <c r="H648" s="328" t="s">
        <v>1307</v>
      </c>
    </row>
    <row r="649" spans="1:9" s="255" customFormat="1">
      <c r="A649" s="326">
        <f t="shared" si="9"/>
        <v>640</v>
      </c>
      <c r="B649" s="327">
        <v>45291</v>
      </c>
      <c r="C649" s="328" t="s">
        <v>948</v>
      </c>
      <c r="D649" s="329" t="s">
        <v>113</v>
      </c>
      <c r="E649" s="328" t="s">
        <v>1169</v>
      </c>
      <c r="F649" s="328" t="s">
        <v>609</v>
      </c>
      <c r="G649" s="118">
        <v>440</v>
      </c>
      <c r="H649" s="328" t="s">
        <v>1307</v>
      </c>
    </row>
    <row r="650" spans="1:9" s="255" customFormat="1">
      <c r="A650" s="326">
        <f t="shared" si="9"/>
        <v>641</v>
      </c>
      <c r="B650" s="327">
        <v>45291</v>
      </c>
      <c r="C650" s="328" t="s">
        <v>948</v>
      </c>
      <c r="D650" s="329" t="s">
        <v>113</v>
      </c>
      <c r="E650" s="328" t="s">
        <v>1020</v>
      </c>
      <c r="F650" s="330" t="s">
        <v>794</v>
      </c>
      <c r="G650" s="118">
        <v>450</v>
      </c>
      <c r="H650" s="328" t="s">
        <v>1307</v>
      </c>
    </row>
    <row r="651" spans="1:9" ht="13.5" thickBot="1">
      <c r="B651" s="331"/>
      <c r="C651" s="261"/>
      <c r="D651" s="261"/>
      <c r="E651" s="332"/>
      <c r="F651" s="261" t="s">
        <v>381</v>
      </c>
      <c r="G651" s="165">
        <f>SUM(G10:G650)</f>
        <v>303120.47000000026</v>
      </c>
      <c r="H651" s="332"/>
      <c r="I651" s="332"/>
    </row>
    <row r="652" spans="1:9" ht="13.5" thickTop="1">
      <c r="B652" s="331"/>
      <c r="C652" s="261"/>
      <c r="D652" s="261"/>
      <c r="E652" s="332"/>
      <c r="F652" s="261"/>
      <c r="G652" s="333"/>
      <c r="H652" s="332"/>
      <c r="I652" s="332"/>
    </row>
    <row r="653" spans="1:9">
      <c r="E653" s="193"/>
    </row>
    <row r="654" spans="1:9">
      <c r="B654" s="331"/>
      <c r="C654" s="261"/>
      <c r="D654" s="261"/>
      <c r="E654" s="332"/>
      <c r="F654" s="261"/>
      <c r="G654" s="333"/>
      <c r="H654" s="332"/>
      <c r="I654" s="332"/>
    </row>
    <row r="655" spans="1:9">
      <c r="E655" s="193"/>
    </row>
    <row r="656" spans="1:9">
      <c r="B656" s="331"/>
      <c r="C656" s="261"/>
      <c r="D656" s="261"/>
      <c r="E656" s="332"/>
      <c r="F656" s="261"/>
      <c r="G656" s="333"/>
      <c r="H656" s="332"/>
      <c r="I656" s="332"/>
    </row>
    <row r="657" spans="2:9">
      <c r="E657" s="193"/>
    </row>
    <row r="658" spans="2:9">
      <c r="B658" s="331"/>
      <c r="C658" s="261"/>
      <c r="D658" s="261"/>
      <c r="E658" s="332"/>
      <c r="F658" s="261"/>
      <c r="G658" s="333"/>
      <c r="H658" s="332"/>
      <c r="I658" s="332"/>
    </row>
    <row r="659" spans="2:9">
      <c r="E659" s="193"/>
    </row>
    <row r="660" spans="2:9">
      <c r="B660" s="263" t="s">
        <v>615</v>
      </c>
      <c r="E660" s="193"/>
      <c r="F660" s="540" t="s">
        <v>655</v>
      </c>
      <c r="G660" s="321">
        <f>SUMIF($F$10:$F$650,"=PP",$G$10:$G$650)</f>
        <v>61269.799999999945</v>
      </c>
      <c r="H660" s="332"/>
      <c r="I660" s="332"/>
    </row>
    <row r="661" spans="2:9">
      <c r="B661" s="263" t="s">
        <v>617</v>
      </c>
      <c r="E661" s="193"/>
      <c r="F661" s="540" t="s">
        <v>652</v>
      </c>
      <c r="G661" s="321">
        <f>SUMIF($F$10:$F$650,"=G",$G$10:$G$650)</f>
        <v>167614.21000000008</v>
      </c>
    </row>
    <row r="662" spans="2:9">
      <c r="B662" s="263" t="s">
        <v>833</v>
      </c>
      <c r="E662" s="193"/>
      <c r="F662" s="540" t="s">
        <v>656</v>
      </c>
      <c r="G662" s="321">
        <f>SUMIF($F$10:$F$650,"=T",$G$10:$G$650)</f>
        <v>28682.049999999988</v>
      </c>
    </row>
    <row r="663" spans="2:9">
      <c r="B663" s="263" t="s">
        <v>616</v>
      </c>
      <c r="E663" s="193"/>
      <c r="F663" s="540" t="s">
        <v>657</v>
      </c>
      <c r="G663" s="321">
        <f>SUMIF($F$10:$F$650,"=D",$G$10:$G$650)</f>
        <v>45554.40999999996</v>
      </c>
    </row>
    <row r="664" spans="2:9">
      <c r="E664" s="193"/>
      <c r="H664" s="334"/>
      <c r="I664" s="334"/>
    </row>
    <row r="665" spans="2:9">
      <c r="E665" s="193"/>
      <c r="F665" s="540" t="s">
        <v>469</v>
      </c>
      <c r="G665" s="164">
        <f>SUM(G660:G664)</f>
        <v>303120.46999999997</v>
      </c>
      <c r="H665" s="321"/>
      <c r="I665" s="321"/>
    </row>
    <row r="666" spans="2:9">
      <c r="E666" s="193"/>
    </row>
    <row r="667" spans="2:9">
      <c r="E667" s="335"/>
      <c r="F667" s="544"/>
      <c r="G667" s="336"/>
      <c r="H667" s="337"/>
    </row>
    <row r="668" spans="2:9">
      <c r="E668" s="259" t="s">
        <v>453</v>
      </c>
      <c r="G668" s="27">
        <f>ABS(G662)</f>
        <v>28682.049999999988</v>
      </c>
      <c r="H668" s="260"/>
    </row>
    <row r="669" spans="2:9" ht="15">
      <c r="E669" s="259" t="s">
        <v>834</v>
      </c>
      <c r="F669" s="147">
        <f>'Schedule 3'!F29</f>
        <v>0.13081923000000001</v>
      </c>
      <c r="G669" s="88">
        <f>ABS(G661) * F669</f>
        <v>21927.16188925831</v>
      </c>
      <c r="H669" s="260"/>
    </row>
    <row r="670" spans="2:9">
      <c r="E670" s="259" t="s">
        <v>835</v>
      </c>
      <c r="G670" s="27">
        <f>SUM(G668:G669)</f>
        <v>50609.211889258295</v>
      </c>
      <c r="H670" s="260" t="s">
        <v>679</v>
      </c>
    </row>
    <row r="671" spans="2:9">
      <c r="E671" s="338"/>
      <c r="F671" s="258"/>
      <c r="G671" s="339"/>
      <c r="H671" s="340"/>
    </row>
    <row r="672" spans="2:9">
      <c r="E672" s="193"/>
    </row>
    <row r="673" spans="5:5">
      <c r="E673" s="193"/>
    </row>
    <row r="674" spans="5:5">
      <c r="E674" s="193"/>
    </row>
    <row r="675" spans="5:5">
      <c r="E675" s="193"/>
    </row>
    <row r="676" spans="5:5">
      <c r="E676" s="193"/>
    </row>
  </sheetData>
  <sheetProtection formatCells="0"/>
  <mergeCells count="6">
    <mergeCell ref="A7:H7"/>
    <mergeCell ref="A1:I1"/>
    <mergeCell ref="A2:I2"/>
    <mergeCell ref="A3:I3"/>
    <mergeCell ref="A5:I5"/>
    <mergeCell ref="A6:I6"/>
  </mergeCells>
  <printOptions horizontalCentered="1"/>
  <pageMargins left="0.75" right="0.75" top="1" bottom="1" header="0.5" footer="0.5"/>
  <pageSetup scale="66" fitToHeight="0" orientation="portrait" r:id="rId1"/>
  <headerFooter alignWithMargins="0"/>
  <rowBreaks count="1" manualBreakCount="1">
    <brk id="655"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90"/>
  <sheetViews>
    <sheetView zoomScale="130" zoomScaleNormal="130" zoomScaleSheetLayoutView="100" workbookViewId="0">
      <selection sqref="A1:XFD1048576"/>
    </sheetView>
  </sheetViews>
  <sheetFormatPr defaultColWidth="9.140625" defaultRowHeight="12.75"/>
  <cols>
    <col min="1" max="1" width="4" style="193" customWidth="1"/>
    <col min="2" max="2" width="37.28515625" style="193" customWidth="1"/>
    <col min="3" max="3" width="11.140625" style="193" customWidth="1"/>
    <col min="4" max="4" width="15" style="311" customWidth="1"/>
    <col min="5" max="5" width="15.7109375" style="311" customWidth="1"/>
    <col min="6" max="7" width="15" style="311" customWidth="1"/>
    <col min="8" max="8" width="13" style="311" customWidth="1"/>
    <col min="9" max="9" width="13" style="193" customWidth="1"/>
    <col min="10" max="11" width="12.85546875" style="193" customWidth="1"/>
    <col min="12" max="12" width="11.7109375" style="193" customWidth="1"/>
    <col min="13" max="13" width="13" style="193" customWidth="1"/>
    <col min="14" max="16384" width="9.140625" style="193"/>
  </cols>
  <sheetData>
    <row r="1" spans="1:14">
      <c r="A1" s="563" t="s">
        <v>459</v>
      </c>
      <c r="B1" s="563"/>
      <c r="C1" s="563"/>
      <c r="D1" s="563"/>
      <c r="E1" s="563"/>
      <c r="F1" s="563"/>
      <c r="G1" s="563"/>
      <c r="H1" s="563"/>
      <c r="I1" s="563"/>
      <c r="J1" s="563"/>
      <c r="K1" s="563"/>
      <c r="L1" s="563"/>
      <c r="M1" s="563"/>
      <c r="N1" s="563"/>
    </row>
    <row r="2" spans="1:14">
      <c r="A2" s="563" t="s">
        <v>1038</v>
      </c>
      <c r="B2" s="563"/>
      <c r="C2" s="563"/>
      <c r="D2" s="563"/>
      <c r="E2" s="563"/>
      <c r="F2" s="563"/>
      <c r="G2" s="563"/>
      <c r="H2" s="563"/>
      <c r="I2" s="563"/>
      <c r="J2" s="563"/>
      <c r="K2" s="563"/>
      <c r="L2" s="563"/>
      <c r="M2" s="563"/>
      <c r="N2" s="563"/>
    </row>
    <row r="3" spans="1:14">
      <c r="A3" s="563" t="str">
        <f>'Title Page'!A10</f>
        <v>FOR THE TWELVE MONTHS ENDED DECEMBER 31, 2023</v>
      </c>
      <c r="B3" s="563"/>
      <c r="C3" s="563"/>
      <c r="D3" s="563"/>
      <c r="E3" s="563"/>
      <c r="F3" s="563"/>
      <c r="G3" s="563"/>
      <c r="H3" s="563"/>
      <c r="I3" s="563"/>
      <c r="J3" s="563"/>
      <c r="K3" s="563"/>
      <c r="L3" s="563"/>
      <c r="M3" s="563"/>
      <c r="N3" s="563"/>
    </row>
    <row r="5" spans="1:14">
      <c r="A5" s="564" t="s">
        <v>604</v>
      </c>
      <c r="B5" s="564"/>
      <c r="C5" s="564"/>
      <c r="D5" s="564"/>
      <c r="E5" s="564"/>
      <c r="F5" s="564"/>
      <c r="G5" s="564"/>
      <c r="H5" s="564"/>
      <c r="I5" s="564"/>
      <c r="J5" s="564"/>
      <c r="K5" s="564"/>
      <c r="L5" s="564"/>
      <c r="M5" s="564"/>
      <c r="N5" s="564"/>
    </row>
    <row r="6" spans="1:14">
      <c r="A6" s="564" t="s">
        <v>836</v>
      </c>
      <c r="B6" s="564"/>
      <c r="C6" s="564"/>
      <c r="D6" s="564"/>
      <c r="E6" s="564"/>
      <c r="F6" s="564"/>
      <c r="G6" s="564"/>
      <c r="H6" s="564"/>
      <c r="I6" s="564"/>
      <c r="J6" s="564"/>
      <c r="K6" s="564"/>
      <c r="L6" s="564"/>
      <c r="M6" s="564"/>
      <c r="N6" s="564"/>
    </row>
    <row r="9" spans="1:14" ht="48.75" customHeight="1">
      <c r="B9" s="295" t="s">
        <v>585</v>
      </c>
      <c r="C9" s="295" t="s">
        <v>586</v>
      </c>
      <c r="D9" s="296" t="s">
        <v>306</v>
      </c>
      <c r="E9" s="296" t="s">
        <v>875</v>
      </c>
      <c r="F9" s="296" t="s">
        <v>781</v>
      </c>
      <c r="G9" s="296" t="s">
        <v>782</v>
      </c>
      <c r="H9" s="296" t="s">
        <v>783</v>
      </c>
      <c r="I9" s="296" t="s">
        <v>307</v>
      </c>
      <c r="J9" s="296" t="s">
        <v>865</v>
      </c>
      <c r="K9" s="296" t="s">
        <v>1340</v>
      </c>
      <c r="L9" s="296" t="s">
        <v>308</v>
      </c>
      <c r="M9" s="296" t="s">
        <v>1339</v>
      </c>
    </row>
    <row r="10" spans="1:14">
      <c r="B10" s="202"/>
      <c r="C10" s="202"/>
      <c r="D10" s="297"/>
      <c r="E10" s="297"/>
      <c r="F10" s="297"/>
      <c r="G10" s="193"/>
      <c r="H10" s="193"/>
    </row>
    <row r="11" spans="1:14">
      <c r="A11" s="540">
        <v>1</v>
      </c>
      <c r="B11" s="193" t="s">
        <v>864</v>
      </c>
      <c r="C11" s="193" t="s">
        <v>587</v>
      </c>
      <c r="D11" s="298"/>
      <c r="E11" s="298"/>
      <c r="F11" s="299"/>
      <c r="G11" s="299"/>
      <c r="H11" s="300"/>
      <c r="I11" s="300">
        <v>34.6</v>
      </c>
      <c r="J11" s="300"/>
      <c r="K11" s="300"/>
      <c r="L11" s="300"/>
      <c r="M11" s="300"/>
      <c r="N11" s="266"/>
    </row>
    <row r="12" spans="1:14">
      <c r="A12" s="540">
        <f>A11+1</f>
        <v>2</v>
      </c>
      <c r="B12" s="193" t="s">
        <v>838</v>
      </c>
      <c r="C12" s="193" t="s">
        <v>587</v>
      </c>
      <c r="D12" s="298">
        <v>29335.5</v>
      </c>
      <c r="E12" s="298"/>
      <c r="F12" s="299"/>
      <c r="G12" s="299">
        <v>161.82753678442805</v>
      </c>
      <c r="H12" s="300">
        <v>2103.172463215572</v>
      </c>
      <c r="I12" s="300">
        <v>381255.36000000004</v>
      </c>
      <c r="J12" s="300"/>
      <c r="K12" s="300"/>
      <c r="L12" s="300"/>
      <c r="M12" s="300"/>
      <c r="N12" s="266"/>
    </row>
    <row r="13" spans="1:14">
      <c r="A13" s="540">
        <f t="shared" ref="A13:A76" si="0">A12+1</f>
        <v>3</v>
      </c>
      <c r="B13" s="193" t="s">
        <v>839</v>
      </c>
      <c r="C13" s="193" t="s">
        <v>587</v>
      </c>
      <c r="D13" s="298">
        <v>3.7599999999999909</v>
      </c>
      <c r="E13" s="298"/>
      <c r="F13" s="299"/>
      <c r="G13" s="299">
        <v>-111.90476190475738</v>
      </c>
      <c r="H13" s="300">
        <v>261.90476190475738</v>
      </c>
      <c r="I13" s="300">
        <v>-8.8000000000001819</v>
      </c>
      <c r="J13" s="300"/>
      <c r="K13" s="300"/>
      <c r="L13" s="300"/>
      <c r="M13" s="300"/>
      <c r="N13" s="266"/>
    </row>
    <row r="14" spans="1:14">
      <c r="A14" s="540">
        <f t="shared" si="0"/>
        <v>4</v>
      </c>
      <c r="B14" s="193" t="s">
        <v>1112</v>
      </c>
      <c r="C14" s="193" t="s">
        <v>587</v>
      </c>
      <c r="D14" s="298">
        <v>8.1999999999999993</v>
      </c>
      <c r="E14" s="298"/>
      <c r="F14" s="299"/>
      <c r="G14" s="299"/>
      <c r="H14" s="300"/>
      <c r="I14" s="300">
        <v>1730.2</v>
      </c>
      <c r="J14" s="300"/>
      <c r="K14" s="300"/>
      <c r="L14" s="300"/>
      <c r="M14" s="300"/>
      <c r="N14" s="266"/>
    </row>
    <row r="15" spans="1:14">
      <c r="A15" s="540">
        <f t="shared" si="0"/>
        <v>5</v>
      </c>
      <c r="B15" s="193" t="s">
        <v>654</v>
      </c>
      <c r="C15" s="193" t="s">
        <v>587</v>
      </c>
      <c r="D15" s="298">
        <v>708.4</v>
      </c>
      <c r="E15" s="298">
        <v>38.880000000000003</v>
      </c>
      <c r="F15" s="299"/>
      <c r="G15" s="299"/>
      <c r="H15" s="300"/>
      <c r="I15" s="300">
        <v>9549.6</v>
      </c>
      <c r="J15" s="300">
        <v>357.06</v>
      </c>
      <c r="K15" s="300"/>
      <c r="L15" s="300"/>
      <c r="M15" s="300"/>
      <c r="N15" s="266"/>
    </row>
    <row r="16" spans="1:14">
      <c r="A16" s="540">
        <f t="shared" si="0"/>
        <v>6</v>
      </c>
      <c r="B16" s="193" t="s">
        <v>1174</v>
      </c>
      <c r="C16" s="193" t="s">
        <v>587</v>
      </c>
      <c r="D16" s="298"/>
      <c r="E16" s="298"/>
      <c r="F16" s="299"/>
      <c r="G16" s="299"/>
      <c r="H16" s="300">
        <v>2810</v>
      </c>
      <c r="I16" s="300">
        <v>465.90000000000009</v>
      </c>
      <c r="J16" s="300"/>
      <c r="K16" s="300"/>
      <c r="L16" s="300"/>
      <c r="M16" s="300"/>
      <c r="N16" s="266"/>
    </row>
    <row r="17" spans="1:14">
      <c r="A17" s="540">
        <f t="shared" si="0"/>
        <v>7</v>
      </c>
      <c r="B17" s="193" t="s">
        <v>588</v>
      </c>
      <c r="C17" s="193" t="s">
        <v>587</v>
      </c>
      <c r="D17" s="298">
        <v>123.97</v>
      </c>
      <c r="E17" s="298"/>
      <c r="F17" s="299"/>
      <c r="G17" s="299">
        <v>443.95809137339984</v>
      </c>
      <c r="H17" s="300">
        <v>6722.0419086266002</v>
      </c>
      <c r="I17" s="300">
        <v>1877.05</v>
      </c>
      <c r="J17" s="300"/>
      <c r="K17" s="300"/>
      <c r="L17" s="300"/>
      <c r="M17" s="300"/>
      <c r="N17" s="266"/>
    </row>
    <row r="18" spans="1:14">
      <c r="A18" s="540">
        <f t="shared" si="0"/>
        <v>8</v>
      </c>
      <c r="B18" s="193" t="s">
        <v>1113</v>
      </c>
      <c r="C18" s="193" t="s">
        <v>587</v>
      </c>
      <c r="D18" s="298">
        <v>6242.25</v>
      </c>
      <c r="E18" s="298"/>
      <c r="F18" s="299"/>
      <c r="G18" s="299">
        <v>312.26750802475135</v>
      </c>
      <c r="H18" s="300">
        <v>2877.7324919752486</v>
      </c>
      <c r="I18" s="300">
        <v>57526.080000000002</v>
      </c>
      <c r="J18" s="300"/>
      <c r="K18" s="300"/>
      <c r="L18" s="300"/>
      <c r="M18" s="300"/>
      <c r="N18" s="266"/>
    </row>
    <row r="19" spans="1:14">
      <c r="A19" s="540">
        <f t="shared" si="0"/>
        <v>9</v>
      </c>
      <c r="B19" s="193" t="s">
        <v>589</v>
      </c>
      <c r="C19" s="193" t="s">
        <v>587</v>
      </c>
      <c r="D19" s="298">
        <v>655.27</v>
      </c>
      <c r="E19" s="298"/>
      <c r="F19" s="299"/>
      <c r="G19" s="299"/>
      <c r="H19" s="300"/>
      <c r="I19" s="300">
        <v>536.29999999999995</v>
      </c>
      <c r="J19" s="300"/>
      <c r="K19" s="300"/>
      <c r="L19" s="300"/>
      <c r="M19" s="300"/>
      <c r="N19" s="266"/>
    </row>
    <row r="20" spans="1:14">
      <c r="A20" s="540">
        <f t="shared" si="0"/>
        <v>10</v>
      </c>
      <c r="B20" s="193" t="s">
        <v>894</v>
      </c>
      <c r="C20" s="193" t="s">
        <v>587</v>
      </c>
      <c r="D20" s="298">
        <v>358.06</v>
      </c>
      <c r="E20" s="298"/>
      <c r="F20" s="299"/>
      <c r="G20" s="299">
        <v>161.46433316077366</v>
      </c>
      <c r="H20" s="300">
        <v>561.53566683922634</v>
      </c>
      <c r="I20" s="300">
        <v>1245.25</v>
      </c>
      <c r="J20" s="300"/>
      <c r="K20" s="300"/>
      <c r="L20" s="300"/>
      <c r="M20" s="300"/>
      <c r="N20" s="266"/>
    </row>
    <row r="21" spans="1:14">
      <c r="A21" s="540">
        <f t="shared" si="0"/>
        <v>11</v>
      </c>
      <c r="B21" s="193" t="s">
        <v>931</v>
      </c>
      <c r="C21" s="193" t="s">
        <v>587</v>
      </c>
      <c r="D21" s="298"/>
      <c r="E21" s="298"/>
      <c r="F21" s="299"/>
      <c r="G21" s="299"/>
      <c r="H21" s="300"/>
      <c r="I21" s="300">
        <v>88.16</v>
      </c>
      <c r="J21" s="300"/>
      <c r="K21" s="300"/>
      <c r="L21" s="300"/>
      <c r="M21" s="300"/>
      <c r="N21" s="266"/>
    </row>
    <row r="22" spans="1:14">
      <c r="A22" s="540">
        <f t="shared" si="0"/>
        <v>12</v>
      </c>
      <c r="B22" s="193" t="s">
        <v>590</v>
      </c>
      <c r="C22" s="193" t="s">
        <v>587</v>
      </c>
      <c r="D22" s="298">
        <v>17.71</v>
      </c>
      <c r="E22" s="298"/>
      <c r="F22" s="299"/>
      <c r="G22" s="299"/>
      <c r="H22" s="300"/>
      <c r="I22" s="300">
        <v>3823.3</v>
      </c>
      <c r="J22" s="300"/>
      <c r="K22" s="300"/>
      <c r="L22" s="300"/>
      <c r="M22" s="300"/>
      <c r="N22" s="266"/>
    </row>
    <row r="23" spans="1:14">
      <c r="A23" s="540">
        <f t="shared" si="0"/>
        <v>13</v>
      </c>
      <c r="B23" s="193" t="s">
        <v>792</v>
      </c>
      <c r="C23" s="193" t="s">
        <v>587</v>
      </c>
      <c r="D23" s="298">
        <v>2657.5700000000006</v>
      </c>
      <c r="E23" s="298"/>
      <c r="F23" s="299"/>
      <c r="G23" s="299"/>
      <c r="H23" s="300"/>
      <c r="I23" s="300"/>
      <c r="J23" s="300"/>
      <c r="K23" s="300"/>
      <c r="L23" s="300"/>
      <c r="M23" s="300"/>
      <c r="N23" s="266"/>
    </row>
    <row r="24" spans="1:14">
      <c r="A24" s="540">
        <f t="shared" si="0"/>
        <v>14</v>
      </c>
      <c r="B24" s="193" t="s">
        <v>995</v>
      </c>
      <c r="C24" s="193" t="s">
        <v>587</v>
      </c>
      <c r="D24" s="298"/>
      <c r="E24" s="298"/>
      <c r="F24" s="299"/>
      <c r="G24" s="299"/>
      <c r="H24" s="300">
        <v>1329</v>
      </c>
      <c r="I24" s="300">
        <v>3314.55</v>
      </c>
      <c r="J24" s="300"/>
      <c r="K24" s="300"/>
      <c r="L24" s="300"/>
      <c r="M24" s="300"/>
      <c r="N24" s="266"/>
    </row>
    <row r="25" spans="1:14">
      <c r="A25" s="540">
        <f t="shared" si="0"/>
        <v>15</v>
      </c>
      <c r="C25" s="264"/>
      <c r="D25" s="298"/>
      <c r="E25" s="298"/>
      <c r="F25" s="299"/>
      <c r="G25" s="299"/>
      <c r="H25" s="300"/>
      <c r="I25" s="300"/>
      <c r="J25" s="300"/>
      <c r="K25" s="300"/>
      <c r="L25" s="300"/>
      <c r="M25" s="300"/>
      <c r="N25" s="266"/>
    </row>
    <row r="26" spans="1:14">
      <c r="A26" s="540">
        <f t="shared" si="0"/>
        <v>16</v>
      </c>
      <c r="B26" s="193" t="s">
        <v>592</v>
      </c>
      <c r="C26" s="193" t="s">
        <v>591</v>
      </c>
      <c r="D26" s="298">
        <v>17.71</v>
      </c>
      <c r="E26" s="298"/>
      <c r="F26" s="299"/>
      <c r="G26" s="299"/>
      <c r="H26" s="300"/>
      <c r="I26" s="300">
        <v>17.3</v>
      </c>
      <c r="J26" s="300"/>
      <c r="K26" s="300"/>
      <c r="L26" s="300"/>
      <c r="M26" s="300"/>
      <c r="N26" s="266"/>
    </row>
    <row r="27" spans="1:14">
      <c r="A27" s="540">
        <f t="shared" si="0"/>
        <v>17</v>
      </c>
      <c r="B27" s="193" t="s">
        <v>593</v>
      </c>
      <c r="C27" s="193" t="s">
        <v>591</v>
      </c>
      <c r="D27" s="298"/>
      <c r="E27" s="298"/>
      <c r="F27" s="299"/>
      <c r="G27" s="299"/>
      <c r="H27" s="300"/>
      <c r="I27" s="300">
        <v>8.1999999999999993</v>
      </c>
      <c r="J27" s="300"/>
      <c r="K27" s="300"/>
      <c r="L27" s="300"/>
      <c r="M27" s="300"/>
      <c r="N27" s="266"/>
    </row>
    <row r="28" spans="1:14">
      <c r="A28" s="540">
        <f t="shared" si="0"/>
        <v>18</v>
      </c>
      <c r="B28" s="193" t="s">
        <v>1175</v>
      </c>
      <c r="C28" s="193" t="s">
        <v>591</v>
      </c>
      <c r="D28" s="298"/>
      <c r="E28" s="298"/>
      <c r="F28" s="299"/>
      <c r="G28" s="299"/>
      <c r="H28" s="300"/>
      <c r="I28" s="300">
        <v>146.9</v>
      </c>
      <c r="J28" s="300"/>
      <c r="K28" s="300"/>
      <c r="L28" s="300"/>
      <c r="M28" s="300"/>
      <c r="N28" s="266"/>
    </row>
    <row r="29" spans="1:14">
      <c r="A29" s="540">
        <f t="shared" si="0"/>
        <v>19</v>
      </c>
      <c r="B29" s="193" t="s">
        <v>572</v>
      </c>
      <c r="C29" s="193" t="s">
        <v>591</v>
      </c>
      <c r="D29" s="298"/>
      <c r="E29" s="298"/>
      <c r="F29" s="299"/>
      <c r="G29" s="299"/>
      <c r="H29" s="300"/>
      <c r="I29" s="300">
        <v>138.4</v>
      </c>
      <c r="J29" s="300"/>
      <c r="K29" s="300"/>
      <c r="L29" s="300"/>
      <c r="M29" s="300"/>
      <c r="N29" s="266"/>
    </row>
    <row r="30" spans="1:14">
      <c r="A30" s="540">
        <f t="shared" si="0"/>
        <v>20</v>
      </c>
      <c r="B30" s="193" t="s">
        <v>784</v>
      </c>
      <c r="C30" s="193" t="s">
        <v>591</v>
      </c>
      <c r="D30" s="298"/>
      <c r="E30" s="298"/>
      <c r="F30" s="299"/>
      <c r="G30" s="299"/>
      <c r="H30" s="300"/>
      <c r="I30" s="300">
        <v>250</v>
      </c>
      <c r="J30" s="300"/>
      <c r="K30" s="300"/>
      <c r="L30" s="300"/>
      <c r="M30" s="300"/>
      <c r="N30" s="266"/>
    </row>
    <row r="31" spans="1:14">
      <c r="A31" s="540">
        <f t="shared" si="0"/>
        <v>21</v>
      </c>
      <c r="B31" s="193" t="s">
        <v>932</v>
      </c>
      <c r="C31" s="193" t="s">
        <v>591</v>
      </c>
      <c r="D31" s="298"/>
      <c r="E31" s="298"/>
      <c r="F31" s="299"/>
      <c r="G31" s="299"/>
      <c r="H31" s="300"/>
      <c r="I31" s="300">
        <v>129.75</v>
      </c>
      <c r="J31" s="300"/>
      <c r="K31" s="300"/>
      <c r="L31" s="300"/>
      <c r="M31" s="300"/>
      <c r="N31" s="266"/>
    </row>
    <row r="32" spans="1:14">
      <c r="A32" s="540">
        <f t="shared" si="0"/>
        <v>22</v>
      </c>
      <c r="B32" s="193" t="s">
        <v>910</v>
      </c>
      <c r="C32" s="193" t="s">
        <v>591</v>
      </c>
      <c r="D32" s="298">
        <v>177.1</v>
      </c>
      <c r="E32" s="298"/>
      <c r="F32" s="299"/>
      <c r="G32" s="299"/>
      <c r="H32" s="300"/>
      <c r="I32" s="300">
        <v>354.65</v>
      </c>
      <c r="J32" s="300"/>
      <c r="K32" s="300"/>
      <c r="L32" s="300"/>
      <c r="M32" s="300"/>
      <c r="N32" s="266"/>
    </row>
    <row r="33" spans="1:18">
      <c r="A33" s="540">
        <f t="shared" si="0"/>
        <v>23</v>
      </c>
      <c r="B33" s="193" t="s">
        <v>996</v>
      </c>
      <c r="C33" s="193" t="s">
        <v>591</v>
      </c>
      <c r="D33" s="298"/>
      <c r="E33" s="298"/>
      <c r="F33" s="299"/>
      <c r="G33" s="299"/>
      <c r="H33" s="300"/>
      <c r="I33" s="300">
        <v>605.5</v>
      </c>
      <c r="J33" s="300"/>
      <c r="K33" s="300"/>
      <c r="L33" s="300"/>
      <c r="M33" s="300"/>
      <c r="N33" s="266"/>
    </row>
    <row r="34" spans="1:18">
      <c r="A34" s="540">
        <f t="shared" si="0"/>
        <v>24</v>
      </c>
      <c r="B34" s="193" t="s">
        <v>0</v>
      </c>
      <c r="C34" s="193" t="s">
        <v>591</v>
      </c>
      <c r="D34" s="298"/>
      <c r="E34" s="298"/>
      <c r="F34" s="299"/>
      <c r="G34" s="299"/>
      <c r="H34" s="300"/>
      <c r="I34" s="300">
        <v>510.35</v>
      </c>
      <c r="J34" s="300">
        <v>32.46</v>
      </c>
      <c r="K34" s="300"/>
      <c r="L34" s="300"/>
      <c r="M34" s="300"/>
      <c r="N34" s="266"/>
    </row>
    <row r="35" spans="1:18">
      <c r="A35" s="540">
        <f t="shared" si="0"/>
        <v>25</v>
      </c>
      <c r="B35" s="193" t="s">
        <v>997</v>
      </c>
      <c r="C35" s="193" t="s">
        <v>591</v>
      </c>
      <c r="D35" s="298"/>
      <c r="E35" s="298"/>
      <c r="F35" s="299"/>
      <c r="G35" s="299"/>
      <c r="H35" s="300"/>
      <c r="I35" s="300">
        <v>346</v>
      </c>
      <c r="J35" s="300"/>
      <c r="K35" s="300"/>
      <c r="L35" s="300"/>
      <c r="M35" s="300"/>
      <c r="N35" s="266"/>
    </row>
    <row r="36" spans="1:18">
      <c r="A36" s="540">
        <f t="shared" si="0"/>
        <v>26</v>
      </c>
      <c r="B36" s="193" t="s">
        <v>597</v>
      </c>
      <c r="C36" s="193" t="s">
        <v>591</v>
      </c>
      <c r="D36" s="298"/>
      <c r="E36" s="298"/>
      <c r="F36" s="299"/>
      <c r="G36" s="299"/>
      <c r="H36" s="300"/>
      <c r="I36" s="300">
        <v>147.05000000000001</v>
      </c>
      <c r="J36" s="300"/>
      <c r="K36" s="300"/>
      <c r="L36" s="300"/>
      <c r="M36" s="300"/>
      <c r="N36" s="266"/>
    </row>
    <row r="37" spans="1:18">
      <c r="A37" s="540">
        <f t="shared" si="0"/>
        <v>27</v>
      </c>
      <c r="B37" s="193" t="s">
        <v>822</v>
      </c>
      <c r="C37" s="193" t="s">
        <v>591</v>
      </c>
      <c r="D37" s="298"/>
      <c r="E37" s="298"/>
      <c r="F37" s="299"/>
      <c r="G37" s="299"/>
      <c r="H37" s="300"/>
      <c r="I37" s="300">
        <v>34.6</v>
      </c>
      <c r="J37" s="300"/>
      <c r="K37" s="300"/>
      <c r="L37" s="300"/>
      <c r="M37" s="300"/>
      <c r="N37" s="266"/>
    </row>
    <row r="38" spans="1:18">
      <c r="A38" s="540">
        <f t="shared" si="0"/>
        <v>28</v>
      </c>
      <c r="B38" s="193" t="s">
        <v>911</v>
      </c>
      <c r="C38" s="193" t="s">
        <v>591</v>
      </c>
      <c r="D38" s="298"/>
      <c r="E38" s="298"/>
      <c r="F38" s="299"/>
      <c r="G38" s="299"/>
      <c r="H38" s="300"/>
      <c r="I38" s="300">
        <v>25.95</v>
      </c>
      <c r="J38" s="300"/>
      <c r="K38" s="300"/>
      <c r="L38" s="300"/>
      <c r="M38" s="300"/>
      <c r="N38" s="266"/>
    </row>
    <row r="39" spans="1:18">
      <c r="A39" s="540">
        <f t="shared" si="0"/>
        <v>29</v>
      </c>
      <c r="B39" s="193" t="s">
        <v>866</v>
      </c>
      <c r="C39" s="193" t="s">
        <v>591</v>
      </c>
      <c r="D39" s="298"/>
      <c r="E39" s="298"/>
      <c r="F39" s="299"/>
      <c r="G39" s="299"/>
      <c r="H39" s="300"/>
      <c r="I39" s="300">
        <v>110.2</v>
      </c>
      <c r="J39" s="300"/>
      <c r="K39" s="300"/>
      <c r="L39" s="300"/>
      <c r="M39" s="300"/>
      <c r="N39" s="266"/>
    </row>
    <row r="40" spans="1:18">
      <c r="A40" s="540">
        <f t="shared" si="0"/>
        <v>30</v>
      </c>
      <c r="B40" s="264"/>
      <c r="C40" s="264"/>
      <c r="D40" s="298"/>
      <c r="E40" s="298"/>
      <c r="F40" s="299"/>
      <c r="G40" s="299"/>
      <c r="H40" s="300"/>
      <c r="I40" s="300"/>
      <c r="J40" s="300"/>
      <c r="K40" s="300"/>
      <c r="L40" s="300"/>
      <c r="M40" s="300"/>
      <c r="R40" s="266"/>
    </row>
    <row r="41" spans="1:18">
      <c r="A41" s="540">
        <f t="shared" si="0"/>
        <v>31</v>
      </c>
      <c r="B41" s="193" t="s">
        <v>599</v>
      </c>
      <c r="C41" s="193" t="s">
        <v>598</v>
      </c>
      <c r="D41" s="298">
        <v>814.66</v>
      </c>
      <c r="E41" s="298"/>
      <c r="F41" s="299"/>
      <c r="G41" s="299">
        <v>170.06192344114424</v>
      </c>
      <c r="H41" s="300">
        <v>929.93807655885576</v>
      </c>
      <c r="I41" s="300">
        <v>4454.75</v>
      </c>
      <c r="J41" s="300">
        <v>16.23</v>
      </c>
      <c r="K41" s="300"/>
      <c r="L41" s="300"/>
      <c r="M41" s="300"/>
      <c r="N41" s="266"/>
    </row>
    <row r="42" spans="1:18">
      <c r="A42" s="540">
        <f t="shared" si="0"/>
        <v>32</v>
      </c>
      <c r="B42" s="193" t="s">
        <v>600</v>
      </c>
      <c r="C42" s="193" t="s">
        <v>598</v>
      </c>
      <c r="D42" s="298">
        <v>1044.8900000000001</v>
      </c>
      <c r="E42" s="298">
        <v>116.64</v>
      </c>
      <c r="F42" s="299"/>
      <c r="G42" s="299">
        <v>168.4580450197609</v>
      </c>
      <c r="H42" s="300">
        <v>2578.5419549802391</v>
      </c>
      <c r="I42" s="300">
        <v>15993.85</v>
      </c>
      <c r="J42" s="300">
        <v>811.5</v>
      </c>
      <c r="K42" s="300"/>
      <c r="L42" s="300"/>
      <c r="M42" s="300"/>
      <c r="N42" s="266"/>
      <c r="O42" s="301"/>
    </row>
    <row r="43" spans="1:18">
      <c r="A43" s="540">
        <f t="shared" si="0"/>
        <v>33</v>
      </c>
      <c r="B43" s="193" t="s">
        <v>653</v>
      </c>
      <c r="C43" s="193" t="s">
        <v>598</v>
      </c>
      <c r="D43" s="298">
        <v>379.04</v>
      </c>
      <c r="E43" s="298"/>
      <c r="F43" s="299"/>
      <c r="G43" s="299"/>
      <c r="H43" s="300"/>
      <c r="I43" s="300">
        <v>4255.8</v>
      </c>
      <c r="J43" s="300">
        <v>113.61</v>
      </c>
      <c r="K43" s="300"/>
      <c r="L43" s="300"/>
      <c r="M43" s="300"/>
      <c r="N43" s="266"/>
    </row>
    <row r="44" spans="1:18">
      <c r="A44" s="540">
        <f t="shared" si="0"/>
        <v>34</v>
      </c>
      <c r="B44" s="193" t="s">
        <v>912</v>
      </c>
      <c r="C44" s="193" t="s">
        <v>598</v>
      </c>
      <c r="D44" s="298">
        <v>17.71</v>
      </c>
      <c r="E44" s="298"/>
      <c r="F44" s="299"/>
      <c r="G44" s="299"/>
      <c r="H44" s="300"/>
      <c r="I44" s="300">
        <v>3555.15</v>
      </c>
      <c r="J44" s="300">
        <v>48.69</v>
      </c>
      <c r="K44" s="300"/>
      <c r="L44" s="300"/>
      <c r="M44" s="300"/>
      <c r="N44" s="266"/>
    </row>
    <row r="45" spans="1:18">
      <c r="A45" s="540">
        <f t="shared" si="0"/>
        <v>35</v>
      </c>
      <c r="B45" s="193" t="s">
        <v>1115</v>
      </c>
      <c r="C45" s="193" t="s">
        <v>598</v>
      </c>
      <c r="D45" s="298">
        <v>3506.58</v>
      </c>
      <c r="E45" s="298">
        <v>77.760000000000005</v>
      </c>
      <c r="F45" s="299"/>
      <c r="G45" s="299"/>
      <c r="H45" s="300"/>
      <c r="I45" s="300">
        <v>36650.050000000003</v>
      </c>
      <c r="J45" s="300">
        <v>665.43</v>
      </c>
      <c r="K45" s="300"/>
      <c r="L45" s="300"/>
      <c r="M45" s="300"/>
      <c r="N45" s="266"/>
    </row>
    <row r="46" spans="1:18">
      <c r="A46" s="540">
        <f t="shared" si="0"/>
        <v>36</v>
      </c>
      <c r="B46" s="193" t="s">
        <v>1116</v>
      </c>
      <c r="C46" s="193" t="s">
        <v>598</v>
      </c>
      <c r="D46" s="298">
        <v>18808.02</v>
      </c>
      <c r="E46" s="298">
        <v>1010.88</v>
      </c>
      <c r="F46" s="299"/>
      <c r="G46" s="299">
        <v>1041.5463590720137</v>
      </c>
      <c r="H46" s="300">
        <v>7991.4536409279863</v>
      </c>
      <c r="I46" s="300">
        <v>144307.95000000001</v>
      </c>
      <c r="J46" s="300">
        <v>3083.7</v>
      </c>
      <c r="K46" s="300"/>
      <c r="L46" s="300"/>
      <c r="M46" s="300"/>
      <c r="N46" s="266"/>
    </row>
    <row r="47" spans="1:18">
      <c r="A47" s="540">
        <f t="shared" si="0"/>
        <v>37</v>
      </c>
      <c r="B47" s="193" t="s">
        <v>1117</v>
      </c>
      <c r="C47" s="193" t="s">
        <v>598</v>
      </c>
      <c r="D47" s="298">
        <v>6694.38</v>
      </c>
      <c r="E47" s="298">
        <v>544.32000000000005</v>
      </c>
      <c r="F47" s="299"/>
      <c r="G47" s="299">
        <v>43.489649176527223</v>
      </c>
      <c r="H47" s="300">
        <v>455.51035082347278</v>
      </c>
      <c r="I47" s="300">
        <v>70116.899999999994</v>
      </c>
      <c r="J47" s="300">
        <v>1606.77</v>
      </c>
      <c r="K47" s="300"/>
      <c r="L47" s="300"/>
      <c r="M47" s="300"/>
      <c r="N47" s="266"/>
    </row>
    <row r="48" spans="1:18">
      <c r="A48" s="540">
        <f t="shared" si="0"/>
        <v>38</v>
      </c>
      <c r="B48" s="193" t="s">
        <v>1118</v>
      </c>
      <c r="C48" s="193" t="s">
        <v>598</v>
      </c>
      <c r="D48" s="298">
        <v>15443.12</v>
      </c>
      <c r="E48" s="298">
        <v>116.64</v>
      </c>
      <c r="F48" s="299"/>
      <c r="G48" s="299">
        <v>435.73140400462626</v>
      </c>
      <c r="H48" s="300">
        <v>3174.2685959953737</v>
      </c>
      <c r="I48" s="300">
        <v>112501.9</v>
      </c>
      <c r="J48" s="300">
        <v>113.61</v>
      </c>
      <c r="K48" s="300"/>
      <c r="L48" s="300"/>
      <c r="M48" s="300"/>
      <c r="N48" s="266"/>
    </row>
    <row r="49" spans="1:14">
      <c r="A49" s="540">
        <f t="shared" si="0"/>
        <v>39</v>
      </c>
      <c r="B49" s="193" t="s">
        <v>1119</v>
      </c>
      <c r="C49" s="193" t="s">
        <v>598</v>
      </c>
      <c r="D49" s="298">
        <v>38443.65</v>
      </c>
      <c r="E49" s="298">
        <v>194.4</v>
      </c>
      <c r="F49" s="299"/>
      <c r="G49" s="299">
        <v>2103.9231940059508</v>
      </c>
      <c r="H49" s="300">
        <v>16104.076805994049</v>
      </c>
      <c r="I49" s="300">
        <v>294259.55</v>
      </c>
      <c r="J49" s="300">
        <v>1812.84</v>
      </c>
      <c r="K49" s="300"/>
      <c r="L49" s="300"/>
      <c r="M49" s="300"/>
      <c r="N49" s="266"/>
    </row>
    <row r="50" spans="1:14">
      <c r="A50" s="540">
        <f t="shared" si="0"/>
        <v>40</v>
      </c>
      <c r="B50" s="193" t="s">
        <v>998</v>
      </c>
      <c r="C50" s="193" t="s">
        <v>598</v>
      </c>
      <c r="D50" s="298"/>
      <c r="E50" s="298"/>
      <c r="F50" s="299"/>
      <c r="G50" s="299"/>
      <c r="H50" s="300"/>
      <c r="I50" s="300"/>
      <c r="J50" s="300"/>
      <c r="K50" s="300"/>
      <c r="L50" s="300">
        <v>926.24</v>
      </c>
      <c r="M50" s="300"/>
      <c r="N50" s="266"/>
    </row>
    <row r="51" spans="1:14">
      <c r="A51" s="540">
        <f t="shared" si="0"/>
        <v>41</v>
      </c>
      <c r="B51" s="193" t="s">
        <v>1114</v>
      </c>
      <c r="C51" s="193" t="s">
        <v>598</v>
      </c>
      <c r="D51" s="298">
        <v>779.24</v>
      </c>
      <c r="E51" s="298"/>
      <c r="F51" s="299"/>
      <c r="G51" s="299">
        <v>5813.6401516641563</v>
      </c>
      <c r="H51" s="300">
        <v>43496.359848335844</v>
      </c>
      <c r="I51" s="300">
        <v>5830.1</v>
      </c>
      <c r="J51" s="300"/>
      <c r="K51" s="300"/>
      <c r="L51" s="300"/>
      <c r="M51" s="300"/>
      <c r="N51" s="266"/>
    </row>
    <row r="52" spans="1:14">
      <c r="A52" s="540">
        <f t="shared" si="0"/>
        <v>42</v>
      </c>
      <c r="B52" s="193" t="s">
        <v>867</v>
      </c>
      <c r="C52" s="193" t="s">
        <v>598</v>
      </c>
      <c r="D52" s="298">
        <v>5348.42</v>
      </c>
      <c r="E52" s="298"/>
      <c r="F52" s="299"/>
      <c r="G52" s="299"/>
      <c r="H52" s="300"/>
      <c r="I52" s="300">
        <v>18727.25</v>
      </c>
      <c r="J52" s="300">
        <v>32.46</v>
      </c>
      <c r="K52" s="300"/>
      <c r="L52" s="300"/>
      <c r="M52" s="300"/>
      <c r="N52" s="266"/>
    </row>
    <row r="53" spans="1:14">
      <c r="A53" s="540">
        <f t="shared" si="0"/>
        <v>43</v>
      </c>
      <c r="B53" s="264"/>
      <c r="C53" s="264"/>
      <c r="D53" s="119"/>
      <c r="E53" s="119"/>
      <c r="F53" s="119"/>
      <c r="G53" s="119"/>
      <c r="H53" s="119"/>
      <c r="I53" s="119"/>
      <c r="J53" s="119"/>
      <c r="K53" s="119"/>
      <c r="L53" s="119"/>
      <c r="M53" s="119"/>
      <c r="N53" s="266"/>
    </row>
    <row r="54" spans="1:14">
      <c r="A54" s="540">
        <f t="shared" si="0"/>
        <v>44</v>
      </c>
      <c r="B54" s="193" t="s">
        <v>913</v>
      </c>
      <c r="C54" s="193" t="s">
        <v>601</v>
      </c>
      <c r="D54" s="298">
        <v>3364.9</v>
      </c>
      <c r="E54" s="298"/>
      <c r="F54" s="299"/>
      <c r="G54" s="299">
        <v>1585.0787518573552</v>
      </c>
      <c r="H54" s="300">
        <v>5341.9212481426448</v>
      </c>
      <c r="I54" s="300">
        <v>11340.150000000001</v>
      </c>
      <c r="J54" s="300"/>
      <c r="K54" s="300"/>
      <c r="L54" s="300"/>
      <c r="M54" s="300"/>
      <c r="N54" s="266"/>
    </row>
    <row r="55" spans="1:14">
      <c r="A55" s="540">
        <f t="shared" si="0"/>
        <v>45</v>
      </c>
      <c r="B55" s="193" t="s">
        <v>868</v>
      </c>
      <c r="C55" s="193" t="s">
        <v>601</v>
      </c>
      <c r="D55" s="298">
        <v>3099.25</v>
      </c>
      <c r="E55" s="298"/>
      <c r="F55" s="299"/>
      <c r="G55" s="299"/>
      <c r="H55" s="300"/>
      <c r="I55" s="300">
        <v>3728.25</v>
      </c>
      <c r="J55" s="300"/>
      <c r="K55" s="300"/>
      <c r="L55" s="300"/>
      <c r="M55" s="300"/>
      <c r="N55" s="266"/>
    </row>
    <row r="56" spans="1:14">
      <c r="A56" s="540">
        <f t="shared" si="0"/>
        <v>46</v>
      </c>
      <c r="B56" s="193" t="s">
        <v>304</v>
      </c>
      <c r="C56" s="193" t="s">
        <v>601</v>
      </c>
      <c r="D56" s="298"/>
      <c r="E56" s="298"/>
      <c r="F56" s="299">
        <v>125454.81</v>
      </c>
      <c r="G56" s="299"/>
      <c r="H56" s="300"/>
      <c r="I56" s="300"/>
      <c r="J56" s="300"/>
      <c r="K56" s="300">
        <v>45615.87</v>
      </c>
      <c r="L56" s="300">
        <v>28807.18</v>
      </c>
      <c r="M56" s="300"/>
      <c r="N56" s="266"/>
    </row>
    <row r="57" spans="1:14">
      <c r="A57" s="540">
        <f t="shared" si="0"/>
        <v>47</v>
      </c>
      <c r="B57" s="193" t="s">
        <v>823</v>
      </c>
      <c r="C57" s="193" t="s">
        <v>601</v>
      </c>
      <c r="D57" s="298">
        <v>1404.36</v>
      </c>
      <c r="E57" s="298"/>
      <c r="F57" s="299"/>
      <c r="G57" s="299">
        <v>1329.6564909344233</v>
      </c>
      <c r="H57" s="300">
        <v>2822.3435090655767</v>
      </c>
      <c r="I57" s="300">
        <v>2980.91</v>
      </c>
      <c r="J57" s="300"/>
      <c r="K57" s="300"/>
      <c r="L57" s="300"/>
      <c r="M57" s="300"/>
      <c r="N57" s="266"/>
    </row>
    <row r="58" spans="1:14">
      <c r="A58" s="540">
        <f t="shared" si="0"/>
        <v>48</v>
      </c>
      <c r="B58" s="193" t="s">
        <v>1120</v>
      </c>
      <c r="C58" s="193" t="s">
        <v>601</v>
      </c>
      <c r="D58" s="298">
        <v>47448.72</v>
      </c>
      <c r="E58" s="298"/>
      <c r="F58" s="299"/>
      <c r="G58" s="299">
        <v>10714.772449163856</v>
      </c>
      <c r="H58" s="300">
        <v>1365.2275508361433</v>
      </c>
      <c r="I58" s="300">
        <v>6045.7</v>
      </c>
      <c r="J58" s="300"/>
      <c r="K58" s="300"/>
      <c r="L58" s="300">
        <v>53273.919999999998</v>
      </c>
      <c r="M58" s="300"/>
      <c r="N58" s="266"/>
    </row>
    <row r="59" spans="1:14">
      <c r="A59" s="540">
        <f t="shared" si="0"/>
        <v>49</v>
      </c>
      <c r="B59" s="193" t="s">
        <v>914</v>
      </c>
      <c r="C59" s="193" t="s">
        <v>601</v>
      </c>
      <c r="D59" s="298"/>
      <c r="E59" s="298"/>
      <c r="F59" s="299"/>
      <c r="G59" s="299"/>
      <c r="H59" s="300">
        <v>471</v>
      </c>
      <c r="I59" s="300">
        <v>622.79999999999995</v>
      </c>
      <c r="J59" s="300"/>
      <c r="K59" s="300"/>
      <c r="L59" s="300"/>
      <c r="M59" s="300"/>
      <c r="N59" s="266"/>
    </row>
    <row r="60" spans="1:14">
      <c r="A60" s="540">
        <f t="shared" si="0"/>
        <v>50</v>
      </c>
      <c r="B60" s="193" t="s">
        <v>824</v>
      </c>
      <c r="C60" s="193" t="s">
        <v>601</v>
      </c>
      <c r="D60" s="298"/>
      <c r="E60" s="298"/>
      <c r="F60" s="299"/>
      <c r="G60" s="299"/>
      <c r="H60" s="300"/>
      <c r="I60" s="300">
        <v>633.65</v>
      </c>
      <c r="J60" s="300"/>
      <c r="K60" s="300"/>
      <c r="L60" s="300"/>
      <c r="M60" s="300"/>
      <c r="N60" s="266"/>
    </row>
    <row r="61" spans="1:14">
      <c r="A61" s="540">
        <f t="shared" si="0"/>
        <v>51</v>
      </c>
      <c r="B61" s="193" t="s">
        <v>847</v>
      </c>
      <c r="C61" s="193" t="s">
        <v>601</v>
      </c>
      <c r="D61" s="298"/>
      <c r="E61" s="298"/>
      <c r="F61" s="299"/>
      <c r="G61" s="299"/>
      <c r="H61" s="300"/>
      <c r="I61" s="300">
        <v>38.57</v>
      </c>
      <c r="J61" s="300"/>
      <c r="K61" s="300"/>
      <c r="L61" s="300"/>
      <c r="M61" s="300"/>
      <c r="N61" s="266"/>
    </row>
    <row r="62" spans="1:14">
      <c r="A62" s="540">
        <f t="shared" si="0"/>
        <v>52</v>
      </c>
      <c r="B62" s="193" t="s">
        <v>846</v>
      </c>
      <c r="C62" s="193" t="s">
        <v>601</v>
      </c>
      <c r="D62" s="298">
        <v>19852.91</v>
      </c>
      <c r="E62" s="298"/>
      <c r="F62" s="299"/>
      <c r="G62" s="299">
        <v>2373.3218763010591</v>
      </c>
      <c r="H62" s="300">
        <v>8428.6781236989409</v>
      </c>
      <c r="I62" s="300">
        <v>70506.149999999994</v>
      </c>
      <c r="J62" s="300"/>
      <c r="K62" s="300"/>
      <c r="L62" s="300">
        <v>12416.32</v>
      </c>
      <c r="M62" s="300"/>
      <c r="N62" s="266"/>
    </row>
    <row r="63" spans="1:14">
      <c r="A63" s="540">
        <f t="shared" si="0"/>
        <v>53</v>
      </c>
      <c r="B63" s="264"/>
      <c r="C63" s="264"/>
      <c r="D63" s="119"/>
      <c r="E63" s="119"/>
      <c r="F63" s="119"/>
      <c r="G63" s="119"/>
      <c r="H63" s="119"/>
      <c r="I63" s="119"/>
      <c r="J63" s="119"/>
      <c r="K63" s="119"/>
      <c r="L63" s="119"/>
      <c r="M63" s="119"/>
      <c r="N63" s="266"/>
    </row>
    <row r="64" spans="1:14">
      <c r="A64" s="540">
        <f t="shared" si="0"/>
        <v>54</v>
      </c>
      <c r="B64" s="193" t="s">
        <v>594</v>
      </c>
      <c r="C64" s="193" t="s">
        <v>895</v>
      </c>
      <c r="D64" s="298">
        <v>11.25</v>
      </c>
      <c r="E64" s="298"/>
      <c r="F64" s="299"/>
      <c r="G64" s="299"/>
      <c r="H64" s="300"/>
      <c r="I64" s="300">
        <v>37.5</v>
      </c>
      <c r="J64" s="300"/>
      <c r="K64" s="300"/>
      <c r="L64" s="300"/>
      <c r="M64" s="300"/>
      <c r="N64" s="266"/>
    </row>
    <row r="65" spans="1:17">
      <c r="A65" s="540">
        <f t="shared" si="0"/>
        <v>55</v>
      </c>
      <c r="B65" s="193" t="s">
        <v>595</v>
      </c>
      <c r="C65" s="193" t="s">
        <v>895</v>
      </c>
      <c r="D65" s="298">
        <v>104.25</v>
      </c>
      <c r="E65" s="298"/>
      <c r="F65" s="299"/>
      <c r="G65" s="299"/>
      <c r="H65" s="300"/>
      <c r="I65" s="300"/>
      <c r="J65" s="300"/>
      <c r="K65" s="300"/>
      <c r="L65" s="300"/>
      <c r="M65" s="300"/>
      <c r="N65" s="266"/>
    </row>
    <row r="66" spans="1:17" s="264" customFormat="1">
      <c r="A66" s="540">
        <f t="shared" si="0"/>
        <v>56</v>
      </c>
      <c r="B66" s="193" t="s">
        <v>596</v>
      </c>
      <c r="C66" s="193" t="s">
        <v>895</v>
      </c>
      <c r="D66" s="298"/>
      <c r="E66" s="298"/>
      <c r="F66" s="299"/>
      <c r="G66" s="299"/>
      <c r="H66" s="300"/>
      <c r="I66" s="300">
        <v>34.6</v>
      </c>
      <c r="J66" s="300"/>
      <c r="K66" s="300"/>
      <c r="L66" s="300"/>
      <c r="M66" s="300"/>
      <c r="N66" s="266"/>
      <c r="O66" s="193"/>
      <c r="P66" s="193"/>
      <c r="Q66" s="193"/>
    </row>
    <row r="67" spans="1:17">
      <c r="A67" s="540">
        <f t="shared" si="0"/>
        <v>57</v>
      </c>
      <c r="B67" s="193" t="s">
        <v>467</v>
      </c>
      <c r="C67" s="193" t="s">
        <v>895</v>
      </c>
      <c r="D67" s="298">
        <v>106.26</v>
      </c>
      <c r="E67" s="298"/>
      <c r="F67" s="299"/>
      <c r="G67" s="299">
        <v>757</v>
      </c>
      <c r="H67" s="300"/>
      <c r="I67" s="300"/>
      <c r="J67" s="300"/>
      <c r="K67" s="300"/>
      <c r="L67" s="300"/>
      <c r="M67" s="300"/>
      <c r="N67" s="266"/>
    </row>
    <row r="68" spans="1:17">
      <c r="A68" s="540">
        <f t="shared" si="0"/>
        <v>58</v>
      </c>
      <c r="B68" s="193" t="s">
        <v>896</v>
      </c>
      <c r="C68" s="193" t="s">
        <v>895</v>
      </c>
      <c r="D68" s="298"/>
      <c r="E68" s="298"/>
      <c r="F68" s="299"/>
      <c r="G68" s="299"/>
      <c r="H68" s="300"/>
      <c r="I68" s="300"/>
      <c r="J68" s="300"/>
      <c r="K68" s="300"/>
      <c r="L68" s="300"/>
      <c r="M68" s="300"/>
      <c r="N68" s="266"/>
    </row>
    <row r="69" spans="1:17">
      <c r="A69" s="540">
        <f t="shared" si="0"/>
        <v>59</v>
      </c>
      <c r="B69" s="264"/>
      <c r="C69" s="264"/>
      <c r="D69" s="298"/>
      <c r="E69" s="298"/>
      <c r="F69" s="299"/>
      <c r="G69" s="299"/>
      <c r="H69" s="300"/>
      <c r="I69" s="300"/>
      <c r="J69" s="300"/>
      <c r="K69" s="300"/>
      <c r="L69" s="300"/>
      <c r="M69" s="300"/>
      <c r="N69" s="266"/>
    </row>
    <row r="70" spans="1:17">
      <c r="A70" s="540">
        <f t="shared" si="0"/>
        <v>60</v>
      </c>
      <c r="B70" s="193" t="s">
        <v>1121</v>
      </c>
      <c r="C70" s="193" t="s">
        <v>602</v>
      </c>
      <c r="D70" s="298"/>
      <c r="E70" s="298"/>
      <c r="F70" s="299"/>
      <c r="G70" s="299"/>
      <c r="H70" s="300"/>
      <c r="I70" s="300"/>
      <c r="J70" s="300"/>
      <c r="K70" s="300"/>
      <c r="L70" s="300"/>
      <c r="M70" s="300">
        <v>4323.33</v>
      </c>
      <c r="N70" s="266"/>
    </row>
    <row r="71" spans="1:17">
      <c r="A71" s="540">
        <f t="shared" si="0"/>
        <v>61</v>
      </c>
      <c r="B71" s="193" t="s">
        <v>305</v>
      </c>
      <c r="C71" s="193" t="s">
        <v>602</v>
      </c>
      <c r="D71" s="298"/>
      <c r="E71" s="298"/>
      <c r="F71" s="299"/>
      <c r="G71" s="299"/>
      <c r="H71" s="300">
        <v>1000</v>
      </c>
      <c r="I71" s="300"/>
      <c r="J71" s="300"/>
      <c r="K71" s="300"/>
      <c r="L71" s="300"/>
      <c r="M71" s="300">
        <v>7386.130000000001</v>
      </c>
      <c r="N71" s="266"/>
    </row>
    <row r="72" spans="1:17" s="264" customFormat="1">
      <c r="A72" s="540">
        <f t="shared" si="0"/>
        <v>62</v>
      </c>
      <c r="B72" s="302" t="s">
        <v>603</v>
      </c>
      <c r="D72" s="65">
        <f t="shared" ref="D72:M72" si="1">SUM(D11:D71)</f>
        <v>206977.11</v>
      </c>
      <c r="E72" s="65">
        <f t="shared" si="1"/>
        <v>2099.52</v>
      </c>
      <c r="F72" s="65">
        <f t="shared" si="1"/>
        <v>125454.81</v>
      </c>
      <c r="G72" s="65">
        <f t="shared" si="1"/>
        <v>27504.293002079467</v>
      </c>
      <c r="H72" s="65">
        <f t="shared" si="1"/>
        <v>110824.70699792056</v>
      </c>
      <c r="I72" s="65">
        <f t="shared" si="1"/>
        <v>1270883.93</v>
      </c>
      <c r="J72" s="65">
        <f t="shared" si="1"/>
        <v>8694.3599999999988</v>
      </c>
      <c r="K72" s="65">
        <f t="shared" si="1"/>
        <v>45615.87</v>
      </c>
      <c r="L72" s="65">
        <f t="shared" si="1"/>
        <v>95423.66</v>
      </c>
      <c r="M72" s="65">
        <f t="shared" si="1"/>
        <v>11709.460000000001</v>
      </c>
      <c r="N72" s="303"/>
    </row>
    <row r="73" spans="1:17" s="264" customFormat="1">
      <c r="A73" s="540">
        <f t="shared" si="0"/>
        <v>63</v>
      </c>
      <c r="D73" s="304"/>
      <c r="E73" s="304"/>
      <c r="F73" s="304"/>
      <c r="G73" s="304"/>
      <c r="H73" s="304"/>
      <c r="M73" s="304"/>
    </row>
    <row r="74" spans="1:17" s="264" customFormat="1">
      <c r="A74" s="540">
        <f t="shared" si="0"/>
        <v>64</v>
      </c>
      <c r="B74" s="264" t="s">
        <v>453</v>
      </c>
      <c r="C74" s="264" t="s">
        <v>680</v>
      </c>
      <c r="E74" s="304"/>
      <c r="F74" s="305">
        <f>D72+F72+E72</f>
        <v>334531.44</v>
      </c>
      <c r="G74" s="146">
        <f>F74/F80</f>
        <v>0.18933683616763655</v>
      </c>
      <c r="H74" s="306" t="s">
        <v>706</v>
      </c>
    </row>
    <row r="75" spans="1:17" s="264" customFormat="1">
      <c r="A75" s="540">
        <f t="shared" si="0"/>
        <v>65</v>
      </c>
      <c r="E75" s="304"/>
      <c r="F75" s="304"/>
      <c r="G75" s="304"/>
      <c r="H75" s="304"/>
    </row>
    <row r="76" spans="1:17" s="264" customFormat="1">
      <c r="A76" s="540">
        <f t="shared" si="0"/>
        <v>66</v>
      </c>
      <c r="B76" s="264" t="s">
        <v>1332</v>
      </c>
      <c r="E76" s="307"/>
      <c r="F76" s="303">
        <f>SUM(D72:M72)</f>
        <v>1905187.72</v>
      </c>
      <c r="H76" s="304"/>
    </row>
    <row r="77" spans="1:17">
      <c r="A77" s="540">
        <f t="shared" ref="A77" si="2">A76+1</f>
        <v>67</v>
      </c>
      <c r="C77" s="308"/>
      <c r="D77" s="193"/>
      <c r="E77" s="309" t="s">
        <v>785</v>
      </c>
      <c r="F77" s="310"/>
      <c r="H77" s="193"/>
    </row>
    <row r="78" spans="1:17">
      <c r="A78" s="540">
        <f t="shared" ref="A78:A89" si="3">A77+1</f>
        <v>68</v>
      </c>
      <c r="C78" s="312"/>
      <c r="D78" s="193"/>
      <c r="E78" s="313" t="s">
        <v>1123</v>
      </c>
      <c r="F78" s="310">
        <v>0</v>
      </c>
      <c r="H78" s="193"/>
    </row>
    <row r="79" spans="1:17">
      <c r="A79" s="540">
        <f t="shared" si="3"/>
        <v>69</v>
      </c>
      <c r="C79" s="312"/>
      <c r="D79" s="193"/>
      <c r="E79" s="313" t="s">
        <v>1122</v>
      </c>
      <c r="F79" s="314">
        <f>F89</f>
        <v>138329.00000000003</v>
      </c>
      <c r="H79" s="193"/>
    </row>
    <row r="80" spans="1:17" ht="13.5" thickBot="1">
      <c r="A80" s="540">
        <f t="shared" si="3"/>
        <v>70</v>
      </c>
      <c r="C80" s="312"/>
      <c r="D80" s="193"/>
      <c r="E80" s="313" t="s">
        <v>787</v>
      </c>
      <c r="F80" s="315">
        <f>F76-F79</f>
        <v>1766858.72</v>
      </c>
      <c r="H80" s="193"/>
    </row>
    <row r="81" spans="1:8" ht="13.5" thickTop="1">
      <c r="A81" s="540">
        <f t="shared" si="3"/>
        <v>71</v>
      </c>
      <c r="C81" s="311"/>
      <c r="D81" s="193"/>
      <c r="E81" s="316" t="s">
        <v>1331</v>
      </c>
      <c r="F81" s="317">
        <f>1724204.59+32271.22</f>
        <v>1756475.81</v>
      </c>
      <c r="H81" s="193"/>
    </row>
    <row r="82" spans="1:8">
      <c r="A82" s="540">
        <f t="shared" si="3"/>
        <v>72</v>
      </c>
      <c r="C82" s="311"/>
      <c r="D82" s="193"/>
      <c r="E82" s="316" t="s">
        <v>856</v>
      </c>
      <c r="F82" s="266">
        <f>F81-F80</f>
        <v>-10382.909999999916</v>
      </c>
      <c r="H82" s="193"/>
    </row>
    <row r="83" spans="1:8">
      <c r="A83" s="540">
        <f t="shared" si="3"/>
        <v>73</v>
      </c>
      <c r="C83" s="311"/>
      <c r="D83" s="193"/>
      <c r="E83" s="316" t="s">
        <v>959</v>
      </c>
      <c r="F83" s="266">
        <v>10382.76</v>
      </c>
      <c r="H83" s="193"/>
    </row>
    <row r="84" spans="1:8" ht="13.5" thickBot="1">
      <c r="A84" s="540">
        <f t="shared" si="3"/>
        <v>74</v>
      </c>
      <c r="D84" s="193"/>
      <c r="E84" s="316" t="s">
        <v>857</v>
      </c>
      <c r="F84" s="318">
        <f>SUM(F82:F83)</f>
        <v>-0.14999999991596269</v>
      </c>
    </row>
    <row r="85" spans="1:8" ht="13.5" thickTop="1">
      <c r="A85" s="540">
        <f t="shared" si="3"/>
        <v>75</v>
      </c>
      <c r="D85" s="193"/>
      <c r="E85" s="304"/>
      <c r="F85" s="255"/>
    </row>
    <row r="86" spans="1:8">
      <c r="A86" s="540">
        <f t="shared" si="3"/>
        <v>76</v>
      </c>
      <c r="D86" s="193"/>
      <c r="E86" s="319" t="s">
        <v>858</v>
      </c>
      <c r="F86" s="255"/>
    </row>
    <row r="87" spans="1:8">
      <c r="A87" s="540">
        <f t="shared" si="3"/>
        <v>77</v>
      </c>
      <c r="D87" s="193"/>
      <c r="E87" s="319" t="s">
        <v>859</v>
      </c>
      <c r="F87" s="266">
        <f>SUM(G72:H72)</f>
        <v>138329.00000000003</v>
      </c>
    </row>
    <row r="88" spans="1:8">
      <c r="A88" s="540">
        <f t="shared" si="3"/>
        <v>78</v>
      </c>
      <c r="D88" s="193"/>
      <c r="E88" s="319" t="s">
        <v>860</v>
      </c>
      <c r="F88" s="266">
        <f>G72+H72-138329</f>
        <v>0</v>
      </c>
    </row>
    <row r="89" spans="1:8" ht="13.5" thickBot="1">
      <c r="A89" s="540">
        <f t="shared" si="3"/>
        <v>79</v>
      </c>
      <c r="D89" s="193"/>
      <c r="E89" s="319" t="s">
        <v>1122</v>
      </c>
      <c r="F89" s="318">
        <f>F87-F88</f>
        <v>138329.00000000003</v>
      </c>
    </row>
    <row r="90" spans="1:8" ht="13.5" thickTop="1"/>
  </sheetData>
  <sheetProtection formatCells="0"/>
  <mergeCells count="5">
    <mergeCell ref="A6:N6"/>
    <mergeCell ref="A5:N5"/>
    <mergeCell ref="A3:N3"/>
    <mergeCell ref="A2:N2"/>
    <mergeCell ref="A1:N1"/>
  </mergeCells>
  <phoneticPr fontId="18" type="noConversion"/>
  <printOptions horizontalCentered="1"/>
  <pageMargins left="0.75" right="0.75" top="1" bottom="1" header="0.5" footer="0.5"/>
  <pageSetup scale="4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F25"/>
  <sheetViews>
    <sheetView zoomScaleNormal="100" zoomScaleSheetLayoutView="100" workbookViewId="0">
      <selection sqref="A1:XFD1048576"/>
    </sheetView>
  </sheetViews>
  <sheetFormatPr defaultColWidth="9.140625" defaultRowHeight="12.75"/>
  <cols>
    <col min="1" max="1" width="26.28515625" style="193" customWidth="1"/>
    <col min="2" max="2" width="14.42578125" style="193" bestFit="1" customWidth="1"/>
    <col min="3" max="3" width="12.28515625" style="193" bestFit="1" customWidth="1"/>
    <col min="4" max="4" width="12" style="193" bestFit="1" customWidth="1"/>
    <col min="5" max="5" width="13.28515625" style="193" bestFit="1" customWidth="1"/>
    <col min="6" max="16384" width="9.140625" style="193"/>
  </cols>
  <sheetData>
    <row r="1" spans="1:6">
      <c r="A1" s="563" t="s">
        <v>459</v>
      </c>
      <c r="B1" s="563"/>
      <c r="C1" s="563"/>
      <c r="D1" s="563"/>
      <c r="E1" s="563"/>
      <c r="F1" s="563"/>
    </row>
    <row r="2" spans="1:6">
      <c r="A2" s="563" t="s">
        <v>1038</v>
      </c>
      <c r="B2" s="563"/>
      <c r="C2" s="563"/>
      <c r="D2" s="563"/>
      <c r="E2" s="563"/>
      <c r="F2" s="563"/>
    </row>
    <row r="3" spans="1:6">
      <c r="A3" s="563" t="str">
        <f>'Title Page'!A10</f>
        <v>FOR THE TWELVE MONTHS ENDED DECEMBER 31, 2023</v>
      </c>
      <c r="B3" s="563"/>
      <c r="C3" s="563"/>
      <c r="D3" s="563"/>
      <c r="E3" s="563"/>
      <c r="F3" s="563"/>
    </row>
    <row r="5" spans="1:6" ht="17.25" customHeight="1">
      <c r="A5" s="564" t="s">
        <v>510</v>
      </c>
      <c r="B5" s="564"/>
      <c r="C5" s="564"/>
      <c r="D5" s="564"/>
      <c r="E5" s="564"/>
      <c r="F5" s="564"/>
    </row>
    <row r="6" spans="1:6">
      <c r="A6" s="564" t="s">
        <v>904</v>
      </c>
      <c r="B6" s="564"/>
      <c r="C6" s="564"/>
      <c r="D6" s="564"/>
      <c r="E6" s="564"/>
      <c r="F6" s="564"/>
    </row>
    <row r="7" spans="1:6">
      <c r="A7" s="564" t="s">
        <v>905</v>
      </c>
      <c r="B7" s="564"/>
      <c r="C7" s="564"/>
      <c r="D7" s="564"/>
      <c r="E7" s="564"/>
      <c r="F7" s="564"/>
    </row>
    <row r="8" spans="1:6">
      <c r="A8" s="541"/>
      <c r="B8" s="541"/>
      <c r="C8" s="541"/>
      <c r="D8" s="541"/>
      <c r="E8" s="541"/>
      <c r="F8" s="541"/>
    </row>
    <row r="9" spans="1:6">
      <c r="A9" s="540"/>
      <c r="B9" s="564"/>
      <c r="C9" s="564"/>
      <c r="D9" s="564"/>
      <c r="E9" s="564"/>
    </row>
    <row r="10" spans="1:6">
      <c r="A10" s="540"/>
      <c r="B10" s="539" t="s">
        <v>330</v>
      </c>
      <c r="C10" s="539" t="s">
        <v>453</v>
      </c>
      <c r="D10" s="539" t="s">
        <v>511</v>
      </c>
      <c r="E10" s="87" t="s">
        <v>469</v>
      </c>
    </row>
    <row r="11" spans="1:6" ht="12.75" customHeight="1">
      <c r="A11" s="540" t="s">
        <v>382</v>
      </c>
      <c r="B11" s="27">
        <v>94139.51</v>
      </c>
      <c r="C11" s="27">
        <v>60256.499999999993</v>
      </c>
      <c r="D11" s="27">
        <v>1192.26</v>
      </c>
      <c r="E11" s="27">
        <f>SUM(B11:D11)</f>
        <v>155588.26999999999</v>
      </c>
    </row>
    <row r="12" spans="1:6">
      <c r="A12" s="540" t="s">
        <v>383</v>
      </c>
      <c r="B12" s="291">
        <v>94432.3</v>
      </c>
      <c r="C12" s="291">
        <v>60416.719999999994</v>
      </c>
      <c r="D12" s="291">
        <v>1192.26</v>
      </c>
      <c r="E12" s="100">
        <f t="shared" ref="E12:E22" si="0">SUM(B12:D12)</f>
        <v>156041.28</v>
      </c>
    </row>
    <row r="13" spans="1:6">
      <c r="A13" s="540" t="s">
        <v>384</v>
      </c>
      <c r="B13" s="291">
        <v>94739.36</v>
      </c>
      <c r="C13" s="291">
        <v>60703.839999999997</v>
      </c>
      <c r="D13" s="291">
        <v>1192.26</v>
      </c>
      <c r="E13" s="100">
        <f t="shared" si="0"/>
        <v>156635.46000000002</v>
      </c>
    </row>
    <row r="14" spans="1:6">
      <c r="A14" s="540" t="s">
        <v>385</v>
      </c>
      <c r="B14" s="291">
        <v>95013.5</v>
      </c>
      <c r="C14" s="291">
        <v>60749.039999999994</v>
      </c>
      <c r="D14" s="291">
        <v>1192.26</v>
      </c>
      <c r="E14" s="100">
        <f t="shared" si="0"/>
        <v>156954.79999999999</v>
      </c>
    </row>
    <row r="15" spans="1:6">
      <c r="A15" s="540" t="s">
        <v>386</v>
      </c>
      <c r="B15" s="291">
        <v>95342.97</v>
      </c>
      <c r="C15" s="291">
        <v>60889.51</v>
      </c>
      <c r="D15" s="291">
        <v>1192.26</v>
      </c>
      <c r="E15" s="100">
        <f t="shared" si="0"/>
        <v>157424.74000000002</v>
      </c>
    </row>
    <row r="16" spans="1:6">
      <c r="A16" s="540" t="s">
        <v>387</v>
      </c>
      <c r="B16" s="291">
        <v>95510.8</v>
      </c>
      <c r="C16" s="291">
        <v>61152.079999999987</v>
      </c>
      <c r="D16" s="291">
        <v>1192.26</v>
      </c>
      <c r="E16" s="100">
        <f t="shared" si="0"/>
        <v>157855.14000000001</v>
      </c>
    </row>
    <row r="17" spans="1:5">
      <c r="A17" s="540" t="s">
        <v>388</v>
      </c>
      <c r="B17" s="291">
        <v>95649.19</v>
      </c>
      <c r="C17" s="291">
        <v>61352.979999999996</v>
      </c>
      <c r="D17" s="291">
        <v>1192.26</v>
      </c>
      <c r="E17" s="100">
        <f t="shared" si="0"/>
        <v>158194.43</v>
      </c>
    </row>
    <row r="18" spans="1:5">
      <c r="A18" s="540" t="s">
        <v>389</v>
      </c>
      <c r="B18" s="291">
        <v>95755.82</v>
      </c>
      <c r="C18" s="291">
        <v>61510.729999999989</v>
      </c>
      <c r="D18" s="291">
        <v>1192.26</v>
      </c>
      <c r="E18" s="100">
        <f t="shared" si="0"/>
        <v>158458.81</v>
      </c>
    </row>
    <row r="19" spans="1:5">
      <c r="A19" s="540" t="s">
        <v>390</v>
      </c>
      <c r="B19" s="291">
        <v>95950.99</v>
      </c>
      <c r="C19" s="291">
        <v>61530.509999999995</v>
      </c>
      <c r="D19" s="291">
        <v>1192.26</v>
      </c>
      <c r="E19" s="100">
        <f t="shared" si="0"/>
        <v>158673.76</v>
      </c>
    </row>
    <row r="20" spans="1:5">
      <c r="A20" s="540" t="s">
        <v>391</v>
      </c>
      <c r="B20" s="291">
        <v>96179.680000000008</v>
      </c>
      <c r="C20" s="291">
        <v>61682.619999999995</v>
      </c>
      <c r="D20" s="291">
        <v>1192.26</v>
      </c>
      <c r="E20" s="100">
        <f t="shared" si="0"/>
        <v>159054.56</v>
      </c>
    </row>
    <row r="21" spans="1:5">
      <c r="A21" s="540" t="s">
        <v>392</v>
      </c>
      <c r="B21" s="291">
        <v>97182.6</v>
      </c>
      <c r="C21" s="291">
        <v>61836.139999999992</v>
      </c>
      <c r="D21" s="291">
        <v>1192.26</v>
      </c>
      <c r="E21" s="100">
        <f t="shared" si="0"/>
        <v>160211</v>
      </c>
    </row>
    <row r="22" spans="1:5">
      <c r="A22" s="540" t="s">
        <v>393</v>
      </c>
      <c r="B22" s="292">
        <v>97728.14</v>
      </c>
      <c r="C22" s="292">
        <v>62405.109999999993</v>
      </c>
      <c r="D22" s="292">
        <v>1192.26</v>
      </c>
      <c r="E22" s="99">
        <f t="shared" si="0"/>
        <v>161325.51</v>
      </c>
    </row>
    <row r="23" spans="1:5">
      <c r="A23" s="540" t="s">
        <v>469</v>
      </c>
      <c r="B23" s="27">
        <f>SUM(B11:B22)</f>
        <v>1147624.8600000001</v>
      </c>
      <c r="C23" s="27">
        <f>SUM(C11:C22)</f>
        <v>734485.77999999991</v>
      </c>
      <c r="D23" s="27">
        <f>SUM(D11:D22)</f>
        <v>14307.12</v>
      </c>
      <c r="E23" s="27">
        <f>SUM(E11:E22)</f>
        <v>1896417.7600000002</v>
      </c>
    </row>
    <row r="24" spans="1:5">
      <c r="A24" s="293"/>
      <c r="B24" s="270"/>
      <c r="C24" s="270"/>
      <c r="D24" s="270"/>
      <c r="E24" s="270"/>
    </row>
    <row r="25" spans="1:5">
      <c r="A25" s="540"/>
      <c r="B25" s="294"/>
      <c r="C25" s="294"/>
      <c r="D25" s="294"/>
      <c r="E25" s="294"/>
    </row>
  </sheetData>
  <sheetProtection formatCells="0"/>
  <mergeCells count="7">
    <mergeCell ref="B9:E9"/>
    <mergeCell ref="A1:F1"/>
    <mergeCell ref="A2:F2"/>
    <mergeCell ref="A3:F3"/>
    <mergeCell ref="A5:F5"/>
    <mergeCell ref="A6:F6"/>
    <mergeCell ref="A7:F7"/>
  </mergeCells>
  <phoneticPr fontId="18" type="noConversion"/>
  <printOptions horizontalCentered="1"/>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J22"/>
  <sheetViews>
    <sheetView zoomScaleNormal="100" zoomScaleSheetLayoutView="100" workbookViewId="0">
      <selection sqref="A1:XFD1048576"/>
    </sheetView>
  </sheetViews>
  <sheetFormatPr defaultColWidth="9.140625" defaultRowHeight="12.75"/>
  <cols>
    <col min="1" max="1" width="3.5703125" style="193" customWidth="1"/>
    <col min="2" max="2" width="1.85546875" style="193" customWidth="1"/>
    <col min="3" max="3" width="3.42578125" style="540" customWidth="1"/>
    <col min="4" max="4" width="37.5703125" style="193" customWidth="1"/>
    <col min="5" max="5" width="10" style="193" customWidth="1"/>
    <col min="6" max="6" width="1.85546875" style="193" customWidth="1"/>
    <col min="7" max="7" width="16.28515625" style="193" customWidth="1"/>
    <col min="8" max="8" width="1.7109375" style="193" customWidth="1"/>
    <col min="9" max="9" width="49.140625" style="193" customWidth="1"/>
    <col min="10" max="16384" width="9.140625" style="193"/>
  </cols>
  <sheetData>
    <row r="1" spans="1:10">
      <c r="A1" s="563" t="s">
        <v>459</v>
      </c>
      <c r="B1" s="563"/>
      <c r="C1" s="563"/>
      <c r="D1" s="563"/>
      <c r="E1" s="563"/>
      <c r="F1" s="563"/>
      <c r="G1" s="563"/>
      <c r="H1" s="563"/>
      <c r="I1" s="563"/>
      <c r="J1" s="563"/>
    </row>
    <row r="2" spans="1:10">
      <c r="A2" s="563" t="s">
        <v>1038</v>
      </c>
      <c r="B2" s="563"/>
      <c r="C2" s="563"/>
      <c r="D2" s="563"/>
      <c r="E2" s="563"/>
      <c r="F2" s="563"/>
      <c r="G2" s="563"/>
      <c r="H2" s="563"/>
      <c r="I2" s="563"/>
      <c r="J2" s="563"/>
    </row>
    <row r="3" spans="1:10">
      <c r="A3" s="563" t="str">
        <f>'Title Page'!A10</f>
        <v>FOR THE TWELVE MONTHS ENDED DECEMBER 31, 2023</v>
      </c>
      <c r="B3" s="563"/>
      <c r="C3" s="563"/>
      <c r="D3" s="563"/>
      <c r="E3" s="563"/>
      <c r="F3" s="563"/>
      <c r="G3" s="563"/>
      <c r="H3" s="563"/>
      <c r="I3" s="563"/>
      <c r="J3" s="563"/>
    </row>
    <row r="5" spans="1:10">
      <c r="A5" s="564" t="s">
        <v>658</v>
      </c>
      <c r="B5" s="564"/>
      <c r="C5" s="564"/>
      <c r="D5" s="564"/>
      <c r="E5" s="564"/>
      <c r="F5" s="564"/>
      <c r="G5" s="564"/>
      <c r="H5" s="564"/>
      <c r="I5" s="564"/>
      <c r="J5" s="564"/>
    </row>
    <row r="6" spans="1:10">
      <c r="A6" s="564" t="s">
        <v>906</v>
      </c>
      <c r="B6" s="564"/>
      <c r="C6" s="564"/>
      <c r="D6" s="564"/>
      <c r="E6" s="564"/>
      <c r="F6" s="564"/>
      <c r="G6" s="564"/>
      <c r="H6" s="564"/>
      <c r="I6" s="564"/>
      <c r="J6" s="564"/>
    </row>
    <row r="7" spans="1:10">
      <c r="C7" s="541"/>
      <c r="D7" s="541"/>
      <c r="E7" s="541"/>
      <c r="F7" s="541"/>
      <c r="G7" s="541"/>
      <c r="H7" s="541"/>
      <c r="I7" s="541"/>
    </row>
    <row r="8" spans="1:10">
      <c r="C8" s="541"/>
      <c r="D8" s="541"/>
      <c r="E8" s="541"/>
      <c r="F8" s="541"/>
      <c r="G8" s="541"/>
      <c r="H8" s="541"/>
      <c r="I8" s="541"/>
    </row>
    <row r="9" spans="1:10">
      <c r="D9" s="264"/>
      <c r="E9" s="541" t="s">
        <v>469</v>
      </c>
      <c r="F9" s="541"/>
      <c r="G9" s="541" t="s">
        <v>565</v>
      </c>
      <c r="H9" s="541"/>
      <c r="I9" s="541"/>
    </row>
    <row r="10" spans="1:10">
      <c r="C10" s="564" t="s">
        <v>566</v>
      </c>
      <c r="D10" s="564"/>
      <c r="E10" s="541" t="s">
        <v>193</v>
      </c>
      <c r="F10" s="541"/>
      <c r="G10" s="541" t="s">
        <v>567</v>
      </c>
      <c r="H10" s="541"/>
      <c r="I10" s="541" t="s">
        <v>568</v>
      </c>
    </row>
    <row r="11" spans="1:10">
      <c r="D11" s="541" t="s">
        <v>397</v>
      </c>
      <c r="E11" s="541" t="s">
        <v>398</v>
      </c>
      <c r="F11" s="541"/>
      <c r="G11" s="541" t="s">
        <v>569</v>
      </c>
      <c r="H11" s="541"/>
      <c r="I11" s="541" t="s">
        <v>570</v>
      </c>
    </row>
    <row r="12" spans="1:10">
      <c r="A12" s="540">
        <v>1</v>
      </c>
      <c r="B12" s="540"/>
      <c r="C12" s="275" t="s">
        <v>826</v>
      </c>
      <c r="D12" s="276"/>
      <c r="E12" s="277"/>
      <c r="F12" s="277"/>
      <c r="G12" s="277"/>
      <c r="H12" s="277"/>
      <c r="I12" s="278"/>
    </row>
    <row r="13" spans="1:10" ht="12.75" customHeight="1">
      <c r="A13" s="279">
        <f>A12+1</f>
        <v>2</v>
      </c>
      <c r="B13" s="279"/>
      <c r="C13" s="280"/>
      <c r="D13" s="281" t="s">
        <v>659</v>
      </c>
      <c r="E13" s="13">
        <f>'Schedule 4 Workpaper page 3'!F79</f>
        <v>138329.00000000003</v>
      </c>
      <c r="F13" s="282"/>
      <c r="G13" s="13">
        <f>'Schedule 4 Workpaper page 3'!G72</f>
        <v>27504.293002079467</v>
      </c>
      <c r="H13" s="283"/>
      <c r="I13" s="284" t="s">
        <v>812</v>
      </c>
      <c r="J13" s="274">
        <v>-1</v>
      </c>
    </row>
    <row r="14" spans="1:10">
      <c r="A14" s="279">
        <f>A13+1</f>
        <v>3</v>
      </c>
      <c r="B14" s="279"/>
      <c r="C14" s="285"/>
      <c r="D14" s="281" t="s">
        <v>512</v>
      </c>
      <c r="E14" s="286">
        <f>'Schedule 4 Workpaper page 3'!F78</f>
        <v>0</v>
      </c>
      <c r="F14" s="286"/>
      <c r="G14" s="286">
        <f>E14*1</f>
        <v>0</v>
      </c>
      <c r="H14" s="283"/>
      <c r="I14" s="284" t="s">
        <v>124</v>
      </c>
    </row>
    <row r="15" spans="1:10" ht="15.75" customHeight="1">
      <c r="A15" s="279">
        <f>A14+1</f>
        <v>4</v>
      </c>
      <c r="B15" s="279"/>
      <c r="C15" s="287" t="s">
        <v>584</v>
      </c>
      <c r="D15" s="288"/>
      <c r="E15" s="13">
        <f>SUM(E13:E14)</f>
        <v>138329.00000000003</v>
      </c>
      <c r="F15" s="282"/>
      <c r="G15" s="13">
        <f>SUM(G13:G14)</f>
        <v>27504.293002079467</v>
      </c>
      <c r="H15" s="283"/>
      <c r="I15" s="283" t="s">
        <v>26</v>
      </c>
    </row>
    <row r="16" spans="1:10">
      <c r="E16" s="289"/>
      <c r="F16" s="289"/>
      <c r="G16" s="289"/>
      <c r="H16" s="289"/>
      <c r="I16" s="289"/>
    </row>
    <row r="17" spans="3:9">
      <c r="C17" s="263"/>
      <c r="D17" s="263" t="s">
        <v>1142</v>
      </c>
      <c r="E17" s="289"/>
      <c r="F17" s="289"/>
      <c r="G17" s="289"/>
      <c r="H17" s="289"/>
      <c r="I17" s="289"/>
    </row>
    <row r="18" spans="3:9">
      <c r="D18" s="254"/>
      <c r="E18" s="289"/>
      <c r="F18" s="289"/>
      <c r="G18" s="289"/>
      <c r="H18" s="289"/>
      <c r="I18" s="289"/>
    </row>
    <row r="20" spans="3:9">
      <c r="D20" s="254"/>
      <c r="E20" s="289"/>
    </row>
    <row r="22" spans="3:9">
      <c r="D22" s="290"/>
      <c r="E22" s="289"/>
    </row>
  </sheetData>
  <sheetProtection formatCells="0"/>
  <mergeCells count="6">
    <mergeCell ref="C10:D10"/>
    <mergeCell ref="A1:J1"/>
    <mergeCell ref="A2:J2"/>
    <mergeCell ref="A3:J3"/>
    <mergeCell ref="A5:J5"/>
    <mergeCell ref="A6:J6"/>
  </mergeCells>
  <phoneticPr fontId="18" type="noConversion"/>
  <printOptions horizontalCentered="1"/>
  <pageMargins left="0.75" right="0.75" top="1" bottom="1" header="0.5" footer="0.5"/>
  <pageSetup scale="6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K82"/>
  <sheetViews>
    <sheetView topLeftCell="A49" zoomScale="130" zoomScaleNormal="130" zoomScaleSheetLayoutView="100" workbookViewId="0">
      <selection sqref="A1:XFD1048576"/>
    </sheetView>
  </sheetViews>
  <sheetFormatPr defaultColWidth="9.140625" defaultRowHeight="12.75"/>
  <cols>
    <col min="1" max="1" width="4.7109375" style="193" customWidth="1"/>
    <col min="2" max="2" width="57.85546875" style="193" customWidth="1"/>
    <col min="3" max="3" width="1.5703125" style="193" customWidth="1"/>
    <col min="4" max="4" width="13.42578125" style="193" bestFit="1" customWidth="1"/>
    <col min="5" max="5" width="1.5703125" style="193" customWidth="1"/>
    <col min="6" max="6" width="12.7109375" style="193" bestFit="1" customWidth="1"/>
    <col min="7" max="7" width="1.5703125" style="193" customWidth="1"/>
    <col min="8" max="8" width="11.85546875" style="193" bestFit="1" customWidth="1"/>
    <col min="9" max="9" width="1.42578125" style="193" customWidth="1"/>
    <col min="10" max="10" width="15.7109375" style="193" customWidth="1"/>
    <col min="11" max="16384" width="9.140625" style="193"/>
  </cols>
  <sheetData>
    <row r="1" spans="1:11">
      <c r="A1" s="563" t="s">
        <v>459</v>
      </c>
      <c r="B1" s="563"/>
      <c r="C1" s="563"/>
      <c r="D1" s="563"/>
      <c r="E1" s="563"/>
      <c r="F1" s="563"/>
      <c r="G1" s="563"/>
      <c r="H1" s="563"/>
      <c r="I1" s="563"/>
      <c r="J1" s="563"/>
      <c r="K1" s="563"/>
    </row>
    <row r="2" spans="1:11">
      <c r="A2" s="563" t="s">
        <v>1038</v>
      </c>
      <c r="B2" s="563"/>
      <c r="C2" s="563"/>
      <c r="D2" s="563"/>
      <c r="E2" s="563"/>
      <c r="F2" s="563"/>
      <c r="G2" s="563"/>
      <c r="H2" s="563"/>
      <c r="I2" s="563"/>
      <c r="J2" s="563"/>
      <c r="K2" s="563"/>
    </row>
    <row r="3" spans="1:11">
      <c r="A3" s="563" t="str">
        <f>'Title Page'!A10</f>
        <v>FOR THE TWELVE MONTHS ENDED DECEMBER 31, 2023</v>
      </c>
      <c r="B3" s="563"/>
      <c r="C3" s="563"/>
      <c r="D3" s="563"/>
      <c r="E3" s="563"/>
      <c r="F3" s="563"/>
      <c r="G3" s="563"/>
      <c r="H3" s="563"/>
      <c r="I3" s="563"/>
      <c r="J3" s="563"/>
      <c r="K3" s="563"/>
    </row>
    <row r="5" spans="1:11">
      <c r="A5" s="564" t="s">
        <v>321</v>
      </c>
      <c r="B5" s="564"/>
      <c r="C5" s="564"/>
      <c r="D5" s="564"/>
      <c r="E5" s="564"/>
      <c r="F5" s="564"/>
      <c r="G5" s="564"/>
      <c r="H5" s="564"/>
      <c r="I5" s="564"/>
      <c r="J5" s="564"/>
      <c r="K5" s="564"/>
    </row>
    <row r="6" spans="1:11" ht="12.75" customHeight="1">
      <c r="A6" s="564" t="s">
        <v>322</v>
      </c>
      <c r="B6" s="564"/>
      <c r="C6" s="564"/>
      <c r="D6" s="564"/>
      <c r="E6" s="564"/>
      <c r="F6" s="564"/>
      <c r="G6" s="564"/>
      <c r="H6" s="564"/>
      <c r="I6" s="564"/>
      <c r="J6" s="564"/>
      <c r="K6" s="564"/>
    </row>
    <row r="7" spans="1:11" ht="12.75" customHeight="1">
      <c r="A7" s="564" t="s">
        <v>915</v>
      </c>
      <c r="B7" s="564"/>
      <c r="C7" s="564"/>
      <c r="D7" s="564"/>
      <c r="E7" s="564"/>
      <c r="F7" s="564"/>
      <c r="G7" s="564"/>
      <c r="H7" s="564"/>
      <c r="I7" s="564"/>
      <c r="J7" s="564"/>
      <c r="K7" s="564"/>
    </row>
    <row r="8" spans="1:11">
      <c r="B8" s="263"/>
      <c r="C8" s="263"/>
      <c r="D8" s="263"/>
      <c r="E8" s="263"/>
      <c r="F8" s="263"/>
      <c r="G8" s="263"/>
      <c r="H8" s="263"/>
      <c r="I8" s="263"/>
      <c r="J8" s="263"/>
    </row>
    <row r="9" spans="1:11">
      <c r="B9" s="540"/>
      <c r="C9" s="540"/>
      <c r="D9" s="540"/>
      <c r="E9" s="540"/>
      <c r="F9" s="540"/>
      <c r="G9" s="540"/>
      <c r="H9" s="540"/>
      <c r="I9" s="540"/>
      <c r="J9" s="540"/>
    </row>
    <row r="10" spans="1:11">
      <c r="B10" s="540"/>
      <c r="C10" s="540"/>
      <c r="D10" s="540"/>
      <c r="E10" s="540"/>
      <c r="F10" s="540"/>
      <c r="G10" s="540"/>
      <c r="H10" s="540"/>
      <c r="I10" s="540"/>
      <c r="J10" s="540"/>
    </row>
    <row r="12" spans="1:11" ht="26.25" customHeight="1">
      <c r="C12" s="540"/>
      <c r="D12" s="548" t="s">
        <v>150</v>
      </c>
      <c r="E12" s="540"/>
      <c r="F12" s="258" t="s">
        <v>149</v>
      </c>
      <c r="G12" s="540"/>
      <c r="H12" s="548" t="s">
        <v>793</v>
      </c>
      <c r="I12" s="540"/>
      <c r="J12" s="548" t="s">
        <v>469</v>
      </c>
    </row>
    <row r="13" spans="1:11">
      <c r="C13" s="540"/>
      <c r="D13" s="540"/>
      <c r="E13" s="540"/>
      <c r="F13" s="540"/>
      <c r="G13" s="540"/>
      <c r="H13" s="540"/>
      <c r="I13" s="540"/>
      <c r="J13" s="540"/>
    </row>
    <row r="14" spans="1:11">
      <c r="A14" s="540"/>
      <c r="B14" s="84"/>
      <c r="C14" s="84"/>
      <c r="D14" s="84"/>
      <c r="E14" s="84"/>
      <c r="F14" s="84"/>
      <c r="G14" s="84"/>
      <c r="H14" s="84"/>
      <c r="I14" s="84"/>
      <c r="J14" s="27"/>
    </row>
    <row r="15" spans="1:11">
      <c r="A15" s="540">
        <v>1</v>
      </c>
      <c r="B15" s="84" t="s">
        <v>1189</v>
      </c>
      <c r="C15" s="84"/>
      <c r="D15" s="27"/>
      <c r="E15" s="272"/>
      <c r="F15" s="27">
        <v>35.9</v>
      </c>
      <c r="G15" s="85"/>
      <c r="H15" s="273"/>
      <c r="I15" s="84"/>
      <c r="J15" s="27">
        <f t="shared" ref="J15:J16" si="0">SUM(D15:H15)</f>
        <v>35.9</v>
      </c>
    </row>
    <row r="16" spans="1:11">
      <c r="A16" s="540">
        <f>A15+1</f>
        <v>2</v>
      </c>
      <c r="B16" s="84" t="s">
        <v>1190</v>
      </c>
      <c r="C16" s="84"/>
      <c r="D16" s="27"/>
      <c r="E16" s="272"/>
      <c r="F16" s="27">
        <v>1309.1500000000001</v>
      </c>
      <c r="G16" s="85"/>
      <c r="H16" s="273"/>
      <c r="I16" s="84"/>
      <c r="J16" s="27">
        <f t="shared" si="0"/>
        <v>1309.1500000000001</v>
      </c>
    </row>
    <row r="17" spans="1:10">
      <c r="A17" s="540">
        <f t="shared" ref="A17:A72" si="1">A16+1</f>
        <v>3</v>
      </c>
      <c r="B17" s="84" t="s">
        <v>1191</v>
      </c>
      <c r="C17" s="84"/>
      <c r="D17" s="27"/>
      <c r="E17" s="272"/>
      <c r="F17" s="27">
        <v>1309.1500000000001</v>
      </c>
      <c r="G17" s="85"/>
      <c r="H17" s="273"/>
      <c r="I17" s="84"/>
      <c r="J17" s="27">
        <f t="shared" ref="J17:J25" si="2">SUM(D17:H17)</f>
        <v>1309.1500000000001</v>
      </c>
    </row>
    <row r="18" spans="1:10">
      <c r="A18" s="540">
        <f t="shared" si="1"/>
        <v>4</v>
      </c>
      <c r="B18" s="84" t="s">
        <v>929</v>
      </c>
      <c r="C18" s="84"/>
      <c r="D18" s="27"/>
      <c r="E18" s="272"/>
      <c r="F18" s="27">
        <v>104443.78000000003</v>
      </c>
      <c r="G18" s="85"/>
      <c r="H18" s="273"/>
      <c r="I18" s="84"/>
      <c r="J18" s="27">
        <f t="shared" si="2"/>
        <v>104443.78000000003</v>
      </c>
    </row>
    <row r="19" spans="1:10">
      <c r="A19" s="540">
        <f t="shared" si="1"/>
        <v>5</v>
      </c>
      <c r="B19" s="84" t="s">
        <v>957</v>
      </c>
      <c r="C19" s="84"/>
      <c r="D19" s="27"/>
      <c r="E19" s="272"/>
      <c r="F19" s="27">
        <v>13557.43</v>
      </c>
      <c r="G19" s="85"/>
      <c r="H19" s="273"/>
      <c r="I19" s="84"/>
      <c r="J19" s="27">
        <f t="shared" si="2"/>
        <v>13557.43</v>
      </c>
    </row>
    <row r="20" spans="1:10">
      <c r="A20" s="540">
        <f t="shared" si="1"/>
        <v>6</v>
      </c>
      <c r="B20" s="84" t="s">
        <v>1192</v>
      </c>
      <c r="C20" s="84"/>
      <c r="D20" s="27">
        <v>9.4810995024875613</v>
      </c>
      <c r="E20" s="272"/>
      <c r="F20" s="27">
        <v>19047.528900497513</v>
      </c>
      <c r="G20" s="85"/>
      <c r="H20" s="273"/>
      <c r="I20" s="84"/>
      <c r="J20" s="27">
        <f t="shared" si="2"/>
        <v>19057.010000000002</v>
      </c>
    </row>
    <row r="21" spans="1:10">
      <c r="A21" s="540">
        <f t="shared" si="1"/>
        <v>7</v>
      </c>
      <c r="B21" s="84" t="s">
        <v>1103</v>
      </c>
      <c r="C21" s="84"/>
      <c r="D21" s="27"/>
      <c r="E21" s="272"/>
      <c r="F21" s="27">
        <v>4842.6000000000004</v>
      </c>
      <c r="G21" s="85"/>
      <c r="H21" s="273"/>
      <c r="I21" s="84"/>
      <c r="J21" s="27">
        <f t="shared" si="2"/>
        <v>4842.6000000000004</v>
      </c>
    </row>
    <row r="22" spans="1:10">
      <c r="A22" s="540">
        <f t="shared" si="1"/>
        <v>8</v>
      </c>
      <c r="B22" s="84" t="s">
        <v>821</v>
      </c>
      <c r="C22" s="84"/>
      <c r="D22" s="27">
        <v>6833.9783995953421</v>
      </c>
      <c r="E22" s="272"/>
      <c r="F22" s="27">
        <v>117345.94160040458</v>
      </c>
      <c r="G22" s="85"/>
      <c r="H22" s="273"/>
      <c r="I22" s="84"/>
      <c r="J22" s="27">
        <f t="shared" si="2"/>
        <v>124179.91999999993</v>
      </c>
    </row>
    <row r="23" spans="1:10">
      <c r="A23" s="540">
        <f t="shared" si="1"/>
        <v>9</v>
      </c>
      <c r="B23" s="84" t="s">
        <v>1193</v>
      </c>
      <c r="C23" s="84"/>
      <c r="D23" s="27"/>
      <c r="E23" s="272"/>
      <c r="F23" s="27">
        <v>2505.7199999999998</v>
      </c>
      <c r="G23" s="85"/>
      <c r="H23" s="273"/>
      <c r="I23" s="84"/>
      <c r="J23" s="27">
        <f t="shared" si="2"/>
        <v>2505.7199999999998</v>
      </c>
    </row>
    <row r="24" spans="1:10">
      <c r="A24" s="540">
        <f t="shared" si="1"/>
        <v>10</v>
      </c>
      <c r="B24" s="84" t="s">
        <v>1027</v>
      </c>
      <c r="C24" s="84"/>
      <c r="D24" s="27">
        <v>944.0945161290324</v>
      </c>
      <c r="E24" s="272"/>
      <c r="F24" s="27">
        <v>7417.8854838709685</v>
      </c>
      <c r="G24" s="85"/>
      <c r="H24" s="273"/>
      <c r="I24" s="84"/>
      <c r="J24" s="27">
        <f t="shared" ref="J24" si="3">SUM(D24:H24)</f>
        <v>8361.9800000000014</v>
      </c>
    </row>
    <row r="25" spans="1:10">
      <c r="A25" s="540">
        <f t="shared" si="1"/>
        <v>11</v>
      </c>
      <c r="B25" s="84" t="s">
        <v>1194</v>
      </c>
      <c r="C25" s="84"/>
      <c r="D25" s="27">
        <v>4400.0073011734021</v>
      </c>
      <c r="E25" s="272"/>
      <c r="F25" s="27">
        <v>33097.832698826591</v>
      </c>
      <c r="G25" s="85"/>
      <c r="H25" s="273"/>
      <c r="I25" s="84"/>
      <c r="J25" s="27">
        <f t="shared" si="2"/>
        <v>37497.839999999997</v>
      </c>
    </row>
    <row r="26" spans="1:10">
      <c r="A26" s="540">
        <f t="shared" si="1"/>
        <v>12</v>
      </c>
      <c r="B26" s="84" t="s">
        <v>1104</v>
      </c>
      <c r="C26" s="84"/>
      <c r="D26" s="27"/>
      <c r="E26" s="272"/>
      <c r="F26" s="27">
        <v>13970.490000000002</v>
      </c>
      <c r="G26" s="85"/>
      <c r="H26" s="273"/>
      <c r="I26" s="84"/>
      <c r="J26" s="27">
        <f t="shared" ref="J26:J68" si="4">SUM(D26:H26)</f>
        <v>13970.490000000002</v>
      </c>
    </row>
    <row r="27" spans="1:10">
      <c r="A27" s="540">
        <f t="shared" si="1"/>
        <v>13</v>
      </c>
      <c r="B27" s="84" t="s">
        <v>1157</v>
      </c>
      <c r="C27" s="84"/>
      <c r="D27" s="27">
        <v>3018.8193202146695</v>
      </c>
      <c r="E27" s="272"/>
      <c r="F27" s="27">
        <v>1199.9806797853309</v>
      </c>
      <c r="G27" s="85"/>
      <c r="H27" s="273"/>
      <c r="I27" s="84"/>
      <c r="J27" s="27">
        <f t="shared" si="4"/>
        <v>4218.8</v>
      </c>
    </row>
    <row r="28" spans="1:10">
      <c r="A28" s="540">
        <f t="shared" si="1"/>
        <v>14</v>
      </c>
      <c r="B28" s="84" t="s">
        <v>1105</v>
      </c>
      <c r="C28" s="84"/>
      <c r="D28" s="27"/>
      <c r="E28" s="272"/>
      <c r="F28" s="27">
        <v>4842.6000000000004</v>
      </c>
      <c r="G28" s="85"/>
      <c r="H28" s="273"/>
      <c r="I28" s="84"/>
      <c r="J28" s="27">
        <f t="shared" si="4"/>
        <v>4842.6000000000004</v>
      </c>
    </row>
    <row r="29" spans="1:10">
      <c r="A29" s="540">
        <f t="shared" si="1"/>
        <v>15</v>
      </c>
      <c r="B29" s="84" t="s">
        <v>1106</v>
      </c>
      <c r="C29" s="84"/>
      <c r="D29" s="27">
        <v>980369.16130210832</v>
      </c>
      <c r="E29" s="272"/>
      <c r="F29" s="27">
        <v>1401517.8486978917</v>
      </c>
      <c r="G29" s="85"/>
      <c r="H29" s="273"/>
      <c r="I29" s="84"/>
      <c r="J29" s="27">
        <f t="shared" si="4"/>
        <v>2381887.0099999998</v>
      </c>
    </row>
    <row r="30" spans="1:10">
      <c r="A30" s="540">
        <f t="shared" si="1"/>
        <v>16</v>
      </c>
      <c r="B30" s="84" t="s">
        <v>1028</v>
      </c>
      <c r="C30" s="84"/>
      <c r="D30" s="27"/>
      <c r="E30" s="272"/>
      <c r="F30" s="27">
        <v>160.5</v>
      </c>
      <c r="G30" s="85"/>
      <c r="H30" s="273"/>
      <c r="I30" s="84"/>
      <c r="J30" s="27">
        <f t="shared" si="4"/>
        <v>160.5</v>
      </c>
    </row>
    <row r="31" spans="1:10">
      <c r="A31" s="540">
        <f t="shared" si="1"/>
        <v>17</v>
      </c>
      <c r="B31" s="84" t="s">
        <v>930</v>
      </c>
      <c r="C31" s="84"/>
      <c r="D31" s="27">
        <v>487207.26134085859</v>
      </c>
      <c r="E31" s="272"/>
      <c r="F31" s="27">
        <v>30400.728659141401</v>
      </c>
      <c r="G31" s="85"/>
      <c r="H31" s="273"/>
      <c r="I31" s="84"/>
      <c r="J31" s="27">
        <f t="shared" si="4"/>
        <v>517607.99</v>
      </c>
    </row>
    <row r="32" spans="1:10">
      <c r="A32" s="540">
        <f t="shared" si="1"/>
        <v>18</v>
      </c>
      <c r="B32" s="84" t="s">
        <v>1158</v>
      </c>
      <c r="C32" s="84"/>
      <c r="D32" s="27"/>
      <c r="E32" s="272"/>
      <c r="F32" s="27">
        <v>100.7</v>
      </c>
      <c r="G32" s="85"/>
      <c r="H32" s="273"/>
      <c r="I32" s="84"/>
      <c r="J32" s="27">
        <f t="shared" ref="J32:J33" si="5">SUM(D32:H32)</f>
        <v>100.7</v>
      </c>
    </row>
    <row r="33" spans="1:10">
      <c r="A33" s="540">
        <f t="shared" si="1"/>
        <v>19</v>
      </c>
      <c r="B33" s="84" t="s">
        <v>1029</v>
      </c>
      <c r="C33" s="84"/>
      <c r="D33" s="27">
        <v>374302.31507393916</v>
      </c>
      <c r="E33" s="272"/>
      <c r="F33" s="27">
        <v>198385.10492606086</v>
      </c>
      <c r="G33" s="85"/>
      <c r="H33" s="273"/>
      <c r="I33" s="84"/>
      <c r="J33" s="27">
        <f t="shared" si="5"/>
        <v>572687.42000000004</v>
      </c>
    </row>
    <row r="34" spans="1:10">
      <c r="A34" s="540">
        <f t="shared" si="1"/>
        <v>20</v>
      </c>
      <c r="B34" s="84" t="s">
        <v>1159</v>
      </c>
      <c r="C34" s="84"/>
      <c r="D34" s="27"/>
      <c r="E34" s="272"/>
      <c r="F34" s="27">
        <v>5198.87</v>
      </c>
      <c r="G34" s="85"/>
      <c r="H34" s="273"/>
      <c r="I34" s="84"/>
      <c r="J34" s="27">
        <f t="shared" si="4"/>
        <v>5198.87</v>
      </c>
    </row>
    <row r="35" spans="1:10">
      <c r="A35" s="540">
        <f t="shared" si="1"/>
        <v>21</v>
      </c>
      <c r="B35" s="84" t="s">
        <v>1160</v>
      </c>
      <c r="C35" s="84"/>
      <c r="D35" s="27"/>
      <c r="E35" s="272"/>
      <c r="F35" s="27">
        <v>5198.87</v>
      </c>
      <c r="G35" s="85"/>
      <c r="H35" s="273"/>
      <c r="I35" s="84"/>
      <c r="J35" s="27">
        <f t="shared" ref="J35" si="6">SUM(D35:H35)</f>
        <v>5198.87</v>
      </c>
    </row>
    <row r="36" spans="1:10">
      <c r="A36" s="540">
        <f t="shared" si="1"/>
        <v>22</v>
      </c>
      <c r="B36" s="84" t="s">
        <v>1161</v>
      </c>
      <c r="C36" s="84"/>
      <c r="D36" s="27"/>
      <c r="E36" s="272"/>
      <c r="F36" s="27">
        <v>5198.87</v>
      </c>
      <c r="G36" s="85"/>
      <c r="H36" s="273"/>
      <c r="I36" s="84"/>
      <c r="J36" s="27">
        <f t="shared" ref="J36" si="7">SUM(D36:H36)</f>
        <v>5198.87</v>
      </c>
    </row>
    <row r="37" spans="1:10">
      <c r="A37" s="540">
        <f t="shared" si="1"/>
        <v>23</v>
      </c>
      <c r="B37" s="84" t="s">
        <v>1162</v>
      </c>
      <c r="C37" s="84"/>
      <c r="D37" s="27"/>
      <c r="E37" s="272"/>
      <c r="F37" s="27">
        <v>5198.87</v>
      </c>
      <c r="G37" s="85"/>
      <c r="H37" s="273"/>
      <c r="I37" s="84"/>
      <c r="J37" s="27">
        <f t="shared" si="4"/>
        <v>5198.87</v>
      </c>
    </row>
    <row r="38" spans="1:10">
      <c r="A38" s="540">
        <f t="shared" si="1"/>
        <v>24</v>
      </c>
      <c r="B38" s="84" t="s">
        <v>1163</v>
      </c>
      <c r="C38" s="84"/>
      <c r="D38" s="27"/>
      <c r="E38" s="272"/>
      <c r="F38" s="27">
        <v>5198.8600000000006</v>
      </c>
      <c r="G38" s="85"/>
      <c r="H38" s="273"/>
      <c r="I38" s="84"/>
      <c r="J38" s="27">
        <f t="shared" si="4"/>
        <v>5198.8600000000006</v>
      </c>
    </row>
    <row r="39" spans="1:10">
      <c r="A39" s="540">
        <f t="shared" si="1"/>
        <v>25</v>
      </c>
      <c r="B39" s="84" t="s">
        <v>1164</v>
      </c>
      <c r="C39" s="84"/>
      <c r="D39" s="27"/>
      <c r="E39" s="272"/>
      <c r="F39" s="27">
        <v>5198.8600000000006</v>
      </c>
      <c r="G39" s="85"/>
      <c r="H39" s="273"/>
      <c r="I39" s="84"/>
      <c r="J39" s="27">
        <f t="shared" si="4"/>
        <v>5198.8600000000006</v>
      </c>
    </row>
    <row r="40" spans="1:10">
      <c r="A40" s="540">
        <f t="shared" si="1"/>
        <v>26</v>
      </c>
      <c r="B40" s="84" t="s">
        <v>1107</v>
      </c>
      <c r="C40" s="84"/>
      <c r="D40" s="27"/>
      <c r="E40" s="272"/>
      <c r="F40" s="27">
        <v>4842.6000000000004</v>
      </c>
      <c r="G40" s="85"/>
      <c r="H40" s="273"/>
      <c r="I40" s="84"/>
      <c r="J40" s="27">
        <f t="shared" si="4"/>
        <v>4842.6000000000004</v>
      </c>
    </row>
    <row r="41" spans="1:10">
      <c r="A41" s="540">
        <f t="shared" si="1"/>
        <v>27</v>
      </c>
      <c r="B41" s="84" t="s">
        <v>1108</v>
      </c>
      <c r="C41" s="84"/>
      <c r="D41" s="27"/>
      <c r="E41" s="272"/>
      <c r="F41" s="27">
        <v>2662.3999999999996</v>
      </c>
      <c r="G41" s="85"/>
      <c r="H41" s="273"/>
      <c r="I41" s="84"/>
      <c r="J41" s="27">
        <f t="shared" si="4"/>
        <v>2662.3999999999996</v>
      </c>
    </row>
    <row r="42" spans="1:10">
      <c r="A42" s="540">
        <f t="shared" si="1"/>
        <v>28</v>
      </c>
      <c r="B42" s="84" t="s">
        <v>1195</v>
      </c>
      <c r="C42" s="84"/>
      <c r="D42" s="27">
        <v>1230339.6493271687</v>
      </c>
      <c r="E42" s="272"/>
      <c r="F42" s="27">
        <v>164573.65067283143</v>
      </c>
      <c r="G42" s="85"/>
      <c r="H42" s="273"/>
      <c r="I42" s="84"/>
      <c r="J42" s="27">
        <f t="shared" si="4"/>
        <v>1394913.3</v>
      </c>
    </row>
    <row r="43" spans="1:10">
      <c r="A43" s="540">
        <f t="shared" si="1"/>
        <v>29</v>
      </c>
      <c r="B43" s="84" t="s">
        <v>958</v>
      </c>
      <c r="C43" s="84"/>
      <c r="D43" s="27"/>
      <c r="E43" s="272"/>
      <c r="F43" s="27">
        <v>320147.47000000003</v>
      </c>
      <c r="G43" s="85"/>
      <c r="H43" s="273"/>
      <c r="I43" s="84"/>
      <c r="J43" s="27">
        <f t="shared" si="4"/>
        <v>320147.47000000003</v>
      </c>
    </row>
    <row r="44" spans="1:10">
      <c r="A44" s="540">
        <f t="shared" si="1"/>
        <v>30</v>
      </c>
      <c r="B44" s="84" t="s">
        <v>1030</v>
      </c>
      <c r="C44" s="84"/>
      <c r="D44" s="27"/>
      <c r="E44" s="272"/>
      <c r="F44" s="27">
        <v>528693.65</v>
      </c>
      <c r="G44" s="85"/>
      <c r="H44" s="273"/>
      <c r="I44" s="84"/>
      <c r="J44" s="27">
        <f t="shared" si="4"/>
        <v>528693.65</v>
      </c>
    </row>
    <row r="45" spans="1:10">
      <c r="A45" s="540">
        <f t="shared" si="1"/>
        <v>31</v>
      </c>
      <c r="B45" s="84" t="s">
        <v>1196</v>
      </c>
      <c r="C45" s="84"/>
      <c r="D45" s="27"/>
      <c r="E45" s="272"/>
      <c r="F45" s="27">
        <v>2618.3000000000002</v>
      </c>
      <c r="G45" s="85"/>
      <c r="H45" s="273"/>
      <c r="I45" s="84"/>
      <c r="J45" s="27">
        <f t="shared" si="4"/>
        <v>2618.3000000000002</v>
      </c>
    </row>
    <row r="46" spans="1:10">
      <c r="A46" s="540">
        <f t="shared" si="1"/>
        <v>32</v>
      </c>
      <c r="B46" s="84" t="s">
        <v>1197</v>
      </c>
      <c r="C46" s="84"/>
      <c r="D46" s="27">
        <v>1073599.7647530825</v>
      </c>
      <c r="E46" s="272"/>
      <c r="F46" s="27">
        <v>1040212.2152469172</v>
      </c>
      <c r="G46" s="85"/>
      <c r="H46" s="273"/>
      <c r="I46" s="84"/>
      <c r="J46" s="27">
        <f t="shared" si="4"/>
        <v>2113811.9799999995</v>
      </c>
    </row>
    <row r="47" spans="1:10">
      <c r="A47" s="540">
        <f t="shared" si="1"/>
        <v>33</v>
      </c>
      <c r="B47" s="84" t="s">
        <v>1198</v>
      </c>
      <c r="C47" s="84"/>
      <c r="D47" s="27">
        <v>366940.96474331204</v>
      </c>
      <c r="E47" s="272"/>
      <c r="F47" s="27">
        <v>343151.41525668878</v>
      </c>
      <c r="G47" s="85"/>
      <c r="H47" s="273"/>
      <c r="I47" s="84"/>
      <c r="J47" s="27">
        <f t="shared" si="4"/>
        <v>710092.38000000082</v>
      </c>
    </row>
    <row r="48" spans="1:10">
      <c r="A48" s="540">
        <f t="shared" si="1"/>
        <v>34</v>
      </c>
      <c r="B48" s="84" t="s">
        <v>1199</v>
      </c>
      <c r="C48" s="84"/>
      <c r="D48" s="27">
        <v>998185.06039506115</v>
      </c>
      <c r="E48" s="272"/>
      <c r="F48" s="27">
        <v>25749.639604938944</v>
      </c>
      <c r="G48" s="85"/>
      <c r="H48" s="273"/>
      <c r="I48" s="84"/>
      <c r="J48" s="27">
        <f t="shared" si="4"/>
        <v>1023934.7000000001</v>
      </c>
    </row>
    <row r="49" spans="1:10">
      <c r="A49" s="540">
        <f t="shared" si="1"/>
        <v>35</v>
      </c>
      <c r="B49" s="84" t="s">
        <v>742</v>
      </c>
      <c r="C49" s="84"/>
      <c r="D49" s="27"/>
      <c r="E49" s="272"/>
      <c r="F49" s="27">
        <v>186105.77</v>
      </c>
      <c r="G49" s="85"/>
      <c r="H49" s="273"/>
      <c r="I49" s="84"/>
      <c r="J49" s="27">
        <f t="shared" ref="J49" si="8">SUM(D49:H49)</f>
        <v>186105.77</v>
      </c>
    </row>
    <row r="50" spans="1:10">
      <c r="A50" s="540">
        <f t="shared" si="1"/>
        <v>36</v>
      </c>
      <c r="B50" s="84" t="s">
        <v>1200</v>
      </c>
      <c r="C50" s="84"/>
      <c r="D50" s="27">
        <v>547380.65490661154</v>
      </c>
      <c r="E50" s="272"/>
      <c r="F50" s="27">
        <v>779007.64509338839</v>
      </c>
      <c r="G50" s="85"/>
      <c r="H50" s="273"/>
      <c r="I50" s="84"/>
      <c r="J50" s="27">
        <f t="shared" si="4"/>
        <v>1326388.2999999998</v>
      </c>
    </row>
    <row r="51" spans="1:10">
      <c r="A51" s="540">
        <f t="shared" si="1"/>
        <v>37</v>
      </c>
      <c r="B51" s="84" t="s">
        <v>1109</v>
      </c>
      <c r="C51" s="84"/>
      <c r="D51" s="27"/>
      <c r="E51" s="272"/>
      <c r="F51" s="27">
        <v>4842.6000000000004</v>
      </c>
      <c r="G51" s="85"/>
      <c r="H51" s="273"/>
      <c r="I51" s="84"/>
      <c r="J51" s="27">
        <f t="shared" si="4"/>
        <v>4842.6000000000004</v>
      </c>
    </row>
    <row r="52" spans="1:10">
      <c r="A52" s="540">
        <f t="shared" si="1"/>
        <v>38</v>
      </c>
      <c r="B52" s="84" t="s">
        <v>1165</v>
      </c>
      <c r="C52" s="84"/>
      <c r="D52" s="27"/>
      <c r="E52" s="272"/>
      <c r="F52" s="27">
        <v>5775.74</v>
      </c>
      <c r="G52" s="85"/>
      <c r="H52" s="273"/>
      <c r="I52" s="84"/>
      <c r="J52" s="27">
        <f t="shared" si="4"/>
        <v>5775.74</v>
      </c>
    </row>
    <row r="53" spans="1:10">
      <c r="A53" s="540">
        <f t="shared" si="1"/>
        <v>39</v>
      </c>
      <c r="B53" s="84" t="s">
        <v>1201</v>
      </c>
      <c r="C53" s="84"/>
      <c r="D53" s="27">
        <v>403337.78010244604</v>
      </c>
      <c r="E53" s="272"/>
      <c r="F53" s="27">
        <v>764708.73989755381</v>
      </c>
      <c r="G53" s="85"/>
      <c r="H53" s="273"/>
      <c r="I53" s="84"/>
      <c r="J53" s="27">
        <f t="shared" si="4"/>
        <v>1168046.5199999998</v>
      </c>
    </row>
    <row r="54" spans="1:10">
      <c r="A54" s="540">
        <f t="shared" si="1"/>
        <v>40</v>
      </c>
      <c r="B54" s="84" t="s">
        <v>1202</v>
      </c>
      <c r="C54" s="84"/>
      <c r="D54" s="27"/>
      <c r="E54" s="272"/>
      <c r="F54" s="27">
        <v>3935.79</v>
      </c>
      <c r="G54" s="85"/>
      <c r="H54" s="273"/>
      <c r="I54" s="84"/>
      <c r="J54" s="27">
        <f t="shared" si="4"/>
        <v>3935.79</v>
      </c>
    </row>
    <row r="55" spans="1:10">
      <c r="A55" s="540">
        <f t="shared" si="1"/>
        <v>41</v>
      </c>
      <c r="B55" s="84" t="s">
        <v>1110</v>
      </c>
      <c r="C55" s="84"/>
      <c r="D55" s="27"/>
      <c r="E55" s="272"/>
      <c r="F55" s="27">
        <v>10473.200000000001</v>
      </c>
      <c r="G55" s="85"/>
      <c r="H55" s="273"/>
      <c r="I55" s="84"/>
      <c r="J55" s="27">
        <f t="shared" ref="J55" si="9">SUM(D55:H55)</f>
        <v>10473.200000000001</v>
      </c>
    </row>
    <row r="56" spans="1:10">
      <c r="A56" s="540">
        <f t="shared" si="1"/>
        <v>42</v>
      </c>
      <c r="B56" s="84" t="s">
        <v>1031</v>
      </c>
      <c r="C56" s="84"/>
      <c r="D56" s="27">
        <v>75398.363029813787</v>
      </c>
      <c r="E56" s="272"/>
      <c r="F56" s="27">
        <v>49385.296970186544</v>
      </c>
      <c r="G56" s="85"/>
      <c r="H56" s="273"/>
      <c r="I56" s="84"/>
      <c r="J56" s="27">
        <f t="shared" si="4"/>
        <v>124783.66000000032</v>
      </c>
    </row>
    <row r="57" spans="1:10">
      <c r="A57" s="540">
        <f t="shared" si="1"/>
        <v>43</v>
      </c>
      <c r="B57" s="84" t="s">
        <v>1203</v>
      </c>
      <c r="C57" s="84"/>
      <c r="D57" s="27"/>
      <c r="E57" s="272"/>
      <c r="F57" s="27">
        <v>6.42</v>
      </c>
      <c r="G57" s="85"/>
      <c r="H57" s="273"/>
      <c r="I57" s="84"/>
      <c r="J57" s="27">
        <f t="shared" ref="J57" si="10">SUM(D57:H57)</f>
        <v>6.42</v>
      </c>
    </row>
    <row r="58" spans="1:10">
      <c r="A58" s="540">
        <f t="shared" si="1"/>
        <v>44</v>
      </c>
      <c r="B58" s="84" t="s">
        <v>1204</v>
      </c>
      <c r="C58" s="84"/>
      <c r="D58" s="27"/>
      <c r="E58" s="272"/>
      <c r="F58" s="27">
        <v>5537.2</v>
      </c>
      <c r="G58" s="85"/>
      <c r="H58" s="273"/>
      <c r="I58" s="84"/>
      <c r="J58" s="27">
        <f t="shared" si="4"/>
        <v>5537.2</v>
      </c>
    </row>
    <row r="59" spans="1:10">
      <c r="A59" s="540">
        <f t="shared" si="1"/>
        <v>45</v>
      </c>
      <c r="B59" s="84" t="s">
        <v>1205</v>
      </c>
      <c r="C59" s="84"/>
      <c r="D59" s="27"/>
      <c r="E59" s="272"/>
      <c r="F59" s="27">
        <v>3547</v>
      </c>
      <c r="G59" s="85"/>
      <c r="H59" s="273"/>
      <c r="I59" s="84"/>
      <c r="J59" s="27">
        <f t="shared" si="4"/>
        <v>3547</v>
      </c>
    </row>
    <row r="60" spans="1:10">
      <c r="A60" s="540">
        <f t="shared" si="1"/>
        <v>46</v>
      </c>
      <c r="B60" s="84" t="s">
        <v>1206</v>
      </c>
      <c r="C60" s="84"/>
      <c r="D60" s="27"/>
      <c r="E60" s="272"/>
      <c r="F60" s="27">
        <v>5757.81</v>
      </c>
      <c r="G60" s="85"/>
      <c r="H60" s="273"/>
      <c r="I60" s="84"/>
      <c r="J60" s="27">
        <f t="shared" si="4"/>
        <v>5757.81</v>
      </c>
    </row>
    <row r="61" spans="1:10">
      <c r="A61" s="540">
        <f t="shared" si="1"/>
        <v>47</v>
      </c>
      <c r="B61" s="84" t="s">
        <v>1032</v>
      </c>
      <c r="C61" s="84"/>
      <c r="D61" s="27">
        <v>3524.3666119096511</v>
      </c>
      <c r="E61" s="272"/>
      <c r="F61" s="27">
        <v>6297.4733880903495</v>
      </c>
      <c r="G61" s="85"/>
      <c r="H61" s="273"/>
      <c r="I61" s="84"/>
      <c r="J61" s="27">
        <f t="shared" si="4"/>
        <v>9821.84</v>
      </c>
    </row>
    <row r="62" spans="1:10">
      <c r="A62" s="540">
        <f t="shared" si="1"/>
        <v>48</v>
      </c>
      <c r="B62" s="84" t="s">
        <v>893</v>
      </c>
      <c r="C62" s="84"/>
      <c r="D62" s="27">
        <v>421637.15608617972</v>
      </c>
      <c r="E62" s="272"/>
      <c r="F62" s="27">
        <v>782407.72391381999</v>
      </c>
      <c r="G62" s="85"/>
      <c r="H62" s="273"/>
      <c r="I62" s="84"/>
      <c r="J62" s="27">
        <f t="shared" si="4"/>
        <v>1204044.8799999997</v>
      </c>
    </row>
    <row r="63" spans="1:10">
      <c r="A63" s="540">
        <f t="shared" si="1"/>
        <v>49</v>
      </c>
      <c r="B63" s="84" t="s">
        <v>1166</v>
      </c>
      <c r="C63" s="84"/>
      <c r="D63" s="27"/>
      <c r="E63" s="272"/>
      <c r="F63" s="27">
        <v>2719</v>
      </c>
      <c r="G63" s="85"/>
      <c r="H63" s="273"/>
      <c r="I63" s="84"/>
      <c r="J63" s="27">
        <f t="shared" si="4"/>
        <v>2719</v>
      </c>
    </row>
    <row r="64" spans="1:10">
      <c r="A64" s="540">
        <f t="shared" si="1"/>
        <v>50</v>
      </c>
      <c r="B64" s="84" t="s">
        <v>1207</v>
      </c>
      <c r="C64" s="84"/>
      <c r="D64" s="27">
        <v>31562.547765321284</v>
      </c>
      <c r="E64" s="272"/>
      <c r="F64" s="27">
        <v>779443.54223467852</v>
      </c>
      <c r="G64" s="85"/>
      <c r="H64" s="273"/>
      <c r="I64" s="84"/>
      <c r="J64" s="27">
        <f t="shared" si="4"/>
        <v>811006.08999999985</v>
      </c>
    </row>
    <row r="65" spans="1:11">
      <c r="A65" s="540">
        <f t="shared" si="1"/>
        <v>51</v>
      </c>
      <c r="B65" s="84" t="s">
        <v>1033</v>
      </c>
      <c r="C65" s="84"/>
      <c r="D65" s="27">
        <v>198216.16899101838</v>
      </c>
      <c r="E65" s="272"/>
      <c r="F65" s="27">
        <v>1791.9310089816327</v>
      </c>
      <c r="G65" s="85"/>
      <c r="H65" s="273"/>
      <c r="I65" s="84"/>
      <c r="J65" s="27">
        <f t="shared" si="4"/>
        <v>200008.1</v>
      </c>
    </row>
    <row r="66" spans="1:11">
      <c r="A66" s="540">
        <f t="shared" si="1"/>
        <v>52</v>
      </c>
      <c r="B66" s="84" t="s">
        <v>1208</v>
      </c>
      <c r="C66" s="84"/>
      <c r="D66" s="27"/>
      <c r="E66" s="272"/>
      <c r="F66" s="27">
        <v>5601.4</v>
      </c>
      <c r="G66" s="85"/>
      <c r="H66" s="273"/>
      <c r="I66" s="84"/>
      <c r="J66" s="27">
        <f t="shared" si="4"/>
        <v>5601.4</v>
      </c>
    </row>
    <row r="67" spans="1:11">
      <c r="A67" s="540">
        <f t="shared" si="1"/>
        <v>53</v>
      </c>
      <c r="B67" s="84" t="s">
        <v>1209</v>
      </c>
      <c r="C67" s="84"/>
      <c r="D67" s="27"/>
      <c r="E67" s="272"/>
      <c r="F67" s="27">
        <v>4842.6000000000004</v>
      </c>
      <c r="G67" s="85"/>
      <c r="H67" s="273"/>
      <c r="I67" s="84"/>
      <c r="J67" s="27">
        <f t="shared" si="4"/>
        <v>4842.6000000000004</v>
      </c>
    </row>
    <row r="68" spans="1:11">
      <c r="A68" s="540">
        <f t="shared" si="1"/>
        <v>54</v>
      </c>
      <c r="B68" s="84" t="s">
        <v>83</v>
      </c>
      <c r="C68" s="84"/>
      <c r="D68" s="27">
        <f>2026903.8+2879978.04</f>
        <v>4906881.84</v>
      </c>
      <c r="E68" s="272"/>
      <c r="F68" s="27">
        <f>579100.31+848029.43</f>
        <v>1427129.7400000002</v>
      </c>
      <c r="G68" s="85"/>
      <c r="H68" s="27"/>
      <c r="I68" s="84"/>
      <c r="J68" s="27">
        <f t="shared" si="4"/>
        <v>6334011.5800000001</v>
      </c>
      <c r="K68" s="274">
        <v>-1</v>
      </c>
    </row>
    <row r="69" spans="1:11">
      <c r="A69" s="540">
        <f t="shared" si="1"/>
        <v>55</v>
      </c>
      <c r="B69" s="84"/>
      <c r="C69" s="84"/>
      <c r="D69" s="84"/>
      <c r="E69" s="84"/>
      <c r="F69" s="84"/>
      <c r="G69" s="84"/>
      <c r="H69" s="84"/>
      <c r="I69" s="84"/>
      <c r="J69" s="27"/>
    </row>
    <row r="70" spans="1:11">
      <c r="A70" s="540">
        <f t="shared" si="1"/>
        <v>56</v>
      </c>
      <c r="B70" s="84" t="s">
        <v>469</v>
      </c>
      <c r="C70" s="84"/>
      <c r="D70" s="86">
        <f>SUM(D15:D68)</f>
        <v>12114089.435065445</v>
      </c>
      <c r="E70" s="84"/>
      <c r="F70" s="86">
        <f>SUM(F15:F68)</f>
        <v>9248652.0349345542</v>
      </c>
      <c r="G70" s="84"/>
      <c r="H70" s="86">
        <f>SUM(H15:H68)</f>
        <v>0</v>
      </c>
      <c r="I70" s="27">
        <f>SUM(I14:I52)</f>
        <v>0</v>
      </c>
      <c r="J70" s="27"/>
    </row>
    <row r="71" spans="1:11">
      <c r="A71" s="540">
        <f t="shared" si="1"/>
        <v>57</v>
      </c>
    </row>
    <row r="72" spans="1:11">
      <c r="A72" s="540">
        <f t="shared" si="1"/>
        <v>58</v>
      </c>
      <c r="B72" s="84" t="s">
        <v>28</v>
      </c>
      <c r="J72" s="200">
        <f>SUM(J15:J68)</f>
        <v>21362741.469999995</v>
      </c>
    </row>
    <row r="75" spans="1:11">
      <c r="D75" s="198"/>
      <c r="E75" s="198"/>
      <c r="F75" s="198"/>
      <c r="G75" s="198"/>
      <c r="H75" s="198"/>
      <c r="I75" s="198"/>
      <c r="J75" s="198"/>
    </row>
    <row r="76" spans="1:11">
      <c r="B76" s="193" t="s">
        <v>1111</v>
      </c>
    </row>
    <row r="77" spans="1:11">
      <c r="B77" s="193" t="s">
        <v>863</v>
      </c>
    </row>
    <row r="82" spans="2:2">
      <c r="B82" s="263"/>
    </row>
  </sheetData>
  <sheetProtection formatCells="0"/>
  <mergeCells count="6">
    <mergeCell ref="A7:K7"/>
    <mergeCell ref="A1:K1"/>
    <mergeCell ref="A2:K2"/>
    <mergeCell ref="A3:K3"/>
    <mergeCell ref="A5:K5"/>
    <mergeCell ref="A6:K6"/>
  </mergeCells>
  <phoneticPr fontId="18" type="noConversion"/>
  <printOptions horizontalCentered="1"/>
  <pageMargins left="0.75" right="0.75" top="1" bottom="1" header="0.5" footer="0.5"/>
  <pageSetup scale="6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N27"/>
  <sheetViews>
    <sheetView zoomScaleNormal="100" zoomScaleSheetLayoutView="100" workbookViewId="0">
      <selection sqref="A1:XFD1048576"/>
    </sheetView>
  </sheetViews>
  <sheetFormatPr defaultColWidth="9.140625" defaultRowHeight="12.75"/>
  <cols>
    <col min="1" max="1" width="2.85546875" style="193" customWidth="1"/>
    <col min="2" max="2" width="32.42578125" style="193" bestFit="1" customWidth="1"/>
    <col min="3" max="3" width="9.140625" style="193"/>
    <col min="4" max="4" width="15" style="193" bestFit="1" customWidth="1"/>
    <col min="5" max="5" width="10.140625" style="193" bestFit="1" customWidth="1"/>
    <col min="6" max="6" width="11.140625" style="193" bestFit="1" customWidth="1"/>
    <col min="7" max="16384" width="9.140625" style="193"/>
  </cols>
  <sheetData>
    <row r="1" spans="1:14">
      <c r="A1" s="563" t="s">
        <v>459</v>
      </c>
      <c r="B1" s="563"/>
      <c r="C1" s="563"/>
      <c r="D1" s="563"/>
      <c r="E1" s="563"/>
    </row>
    <row r="2" spans="1:14">
      <c r="A2" s="563" t="s">
        <v>1038</v>
      </c>
      <c r="B2" s="563"/>
      <c r="C2" s="563"/>
      <c r="D2" s="563"/>
      <c r="E2" s="563"/>
    </row>
    <row r="3" spans="1:14">
      <c r="A3" s="563" t="str">
        <f>'Title Page'!A10</f>
        <v>FOR THE TWELVE MONTHS ENDED DECEMBER 31, 2023</v>
      </c>
      <c r="B3" s="563"/>
      <c r="C3" s="563"/>
      <c r="D3" s="563"/>
      <c r="E3" s="563"/>
    </row>
    <row r="5" spans="1:14">
      <c r="A5" s="564" t="s">
        <v>325</v>
      </c>
      <c r="B5" s="564"/>
      <c r="C5" s="564"/>
      <c r="D5" s="564"/>
      <c r="E5" s="564"/>
      <c r="F5" s="264"/>
      <c r="G5" s="264"/>
      <c r="H5" s="264"/>
      <c r="I5" s="264"/>
      <c r="J5" s="264"/>
      <c r="K5" s="264"/>
      <c r="L5" s="264"/>
      <c r="M5" s="264"/>
      <c r="N5" s="264"/>
    </row>
    <row r="6" spans="1:14">
      <c r="A6" s="564" t="s">
        <v>323</v>
      </c>
      <c r="B6" s="564"/>
      <c r="C6" s="564"/>
      <c r="D6" s="564"/>
      <c r="E6" s="564"/>
      <c r="F6" s="264"/>
      <c r="G6" s="264"/>
      <c r="H6" s="264"/>
      <c r="I6" s="264"/>
      <c r="J6" s="264"/>
      <c r="K6" s="264"/>
      <c r="L6" s="264"/>
      <c r="M6" s="264"/>
      <c r="N6" s="264"/>
    </row>
    <row r="7" spans="1:14">
      <c r="A7" s="564" t="s">
        <v>916</v>
      </c>
      <c r="B7" s="564"/>
      <c r="C7" s="564"/>
      <c r="D7" s="564"/>
      <c r="E7" s="564"/>
      <c r="F7" s="264"/>
      <c r="G7" s="264"/>
      <c r="H7" s="264"/>
      <c r="I7" s="264"/>
      <c r="J7" s="264"/>
      <c r="K7" s="264"/>
      <c r="L7" s="264"/>
      <c r="M7" s="264"/>
      <c r="N7" s="264"/>
    </row>
    <row r="8" spans="1:14">
      <c r="A8" s="564" t="str">
        <f>'Schedule 4 Workpaper page 4'!A7:E7</f>
        <v>Retail Schedule 72 Recorded in Account 454</v>
      </c>
      <c r="B8" s="564"/>
      <c r="C8" s="564"/>
      <c r="D8" s="564"/>
      <c r="E8" s="564"/>
      <c r="F8" s="264"/>
      <c r="G8" s="264"/>
      <c r="H8" s="264"/>
      <c r="I8" s="264"/>
      <c r="J8" s="264"/>
      <c r="K8" s="264"/>
      <c r="L8" s="264"/>
      <c r="M8" s="264"/>
      <c r="N8" s="264"/>
    </row>
    <row r="10" spans="1:14">
      <c r="D10" s="265">
        <v>2023</v>
      </c>
    </row>
    <row r="11" spans="1:14">
      <c r="A11" s="540">
        <v>1</v>
      </c>
      <c r="B11" s="193" t="s">
        <v>813</v>
      </c>
      <c r="D11" s="198">
        <v>12123.43448028782</v>
      </c>
      <c r="F11" s="266"/>
    </row>
    <row r="12" spans="1:14">
      <c r="A12" s="540">
        <f t="shared" ref="A12:A22" si="0">A11+1</f>
        <v>2</v>
      </c>
      <c r="B12" s="193" t="s">
        <v>869</v>
      </c>
      <c r="D12" s="267">
        <v>15937398</v>
      </c>
      <c r="F12" s="267"/>
    </row>
    <row r="13" spans="1:14">
      <c r="A13" s="540">
        <f t="shared" si="0"/>
        <v>3</v>
      </c>
      <c r="B13" s="193" t="s">
        <v>821</v>
      </c>
      <c r="D13" s="267">
        <v>6249960</v>
      </c>
      <c r="F13" s="266"/>
    </row>
    <row r="14" spans="1:14">
      <c r="A14" s="540">
        <f t="shared" si="0"/>
        <v>4</v>
      </c>
      <c r="B14" s="193" t="s">
        <v>1156</v>
      </c>
      <c r="D14" s="267">
        <v>62499.6</v>
      </c>
      <c r="F14" s="267"/>
    </row>
    <row r="15" spans="1:14">
      <c r="A15" s="540">
        <f t="shared" si="0"/>
        <v>5</v>
      </c>
      <c r="B15" s="193" t="s">
        <v>1031</v>
      </c>
      <c r="D15" s="267">
        <v>3156229.8</v>
      </c>
      <c r="F15" s="267"/>
    </row>
    <row r="16" spans="1:14">
      <c r="A16" s="540">
        <f t="shared" si="0"/>
        <v>6</v>
      </c>
      <c r="B16" s="193" t="s">
        <v>862</v>
      </c>
      <c r="D16" s="267">
        <v>8468695.8000000007</v>
      </c>
      <c r="F16" s="267"/>
    </row>
    <row r="17" spans="1:6">
      <c r="A17" s="540">
        <f t="shared" si="0"/>
        <v>7</v>
      </c>
      <c r="B17" s="193" t="s">
        <v>1033</v>
      </c>
      <c r="D17" s="267">
        <v>62499.6</v>
      </c>
      <c r="F17" s="267"/>
    </row>
    <row r="18" spans="1:6">
      <c r="A18" s="540">
        <f t="shared" si="0"/>
        <v>8</v>
      </c>
      <c r="B18" s="193" t="s">
        <v>801</v>
      </c>
      <c r="D18" s="267">
        <v>891764</v>
      </c>
      <c r="F18" s="267"/>
    </row>
    <row r="19" spans="1:6">
      <c r="A19" s="540">
        <f t="shared" si="0"/>
        <v>9</v>
      </c>
      <c r="B19" s="193" t="s">
        <v>840</v>
      </c>
      <c r="D19" s="267">
        <v>6851280</v>
      </c>
      <c r="E19" s="540"/>
      <c r="F19" s="267"/>
    </row>
    <row r="20" spans="1:6">
      <c r="A20" s="540">
        <f t="shared" si="0"/>
        <v>10</v>
      </c>
      <c r="B20" s="193" t="s">
        <v>802</v>
      </c>
      <c r="D20" s="268">
        <v>1872492</v>
      </c>
      <c r="F20" s="269"/>
    </row>
    <row r="21" spans="1:6">
      <c r="A21" s="540">
        <f t="shared" si="0"/>
        <v>11</v>
      </c>
      <c r="D21" s="270"/>
    </row>
    <row r="22" spans="1:6">
      <c r="A22" s="540">
        <f t="shared" si="0"/>
        <v>12</v>
      </c>
      <c r="B22" s="193" t="s">
        <v>469</v>
      </c>
      <c r="D22" s="198">
        <f>SUM(D11:D21)</f>
        <v>43564942.234480292</v>
      </c>
      <c r="F22" s="266"/>
    </row>
    <row r="23" spans="1:6">
      <c r="D23" s="266"/>
    </row>
    <row r="27" spans="1:6">
      <c r="B27" s="271"/>
    </row>
  </sheetData>
  <sheetProtection formatCells="0"/>
  <mergeCells count="7">
    <mergeCell ref="A5:E5"/>
    <mergeCell ref="A6:E6"/>
    <mergeCell ref="A7:E7"/>
    <mergeCell ref="A8:E8"/>
    <mergeCell ref="A1:E1"/>
    <mergeCell ref="A2:E2"/>
    <mergeCell ref="A3:E3"/>
  </mergeCells>
  <phoneticPr fontId="18" type="noConversion"/>
  <printOptions horizontalCentered="1"/>
  <pageMargins left="0.75" right="0.75" top="1" bottom="1" header="0.5" footer="0.5"/>
  <pageSetup orientation="portrait" r:id="rId1"/>
  <headerFooter alignWithMargins="0"/>
  <ignoredErrors>
    <ignoredError sqref="D22"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J62"/>
  <sheetViews>
    <sheetView topLeftCell="A10" zoomScale="120" zoomScaleNormal="120" zoomScaleSheetLayoutView="100" workbookViewId="0">
      <selection sqref="A1:XFD1048576"/>
    </sheetView>
  </sheetViews>
  <sheetFormatPr defaultColWidth="9.140625" defaultRowHeight="12.75"/>
  <cols>
    <col min="1" max="1" width="16.140625" style="250" customWidth="1"/>
    <col min="2" max="2" width="15.85546875" style="540" customWidth="1"/>
    <col min="3" max="3" width="13.85546875" style="540" customWidth="1"/>
    <col min="4" max="4" width="18.7109375" style="540" customWidth="1"/>
    <col min="5" max="5" width="15.85546875" style="540" customWidth="1"/>
    <col min="6" max="6" width="17.5703125" style="193" customWidth="1"/>
    <col min="7" max="7" width="15.42578125" style="193" customWidth="1"/>
    <col min="8" max="8" width="9.42578125" style="193" customWidth="1"/>
    <col min="9" max="16384" width="9.140625" style="193"/>
  </cols>
  <sheetData>
    <row r="1" spans="1:8">
      <c r="A1" s="563" t="s">
        <v>459</v>
      </c>
      <c r="B1" s="563"/>
      <c r="C1" s="563"/>
      <c r="D1" s="563"/>
      <c r="E1" s="563"/>
      <c r="F1" s="563"/>
      <c r="G1" s="563"/>
      <c r="H1" s="563"/>
    </row>
    <row r="2" spans="1:8">
      <c r="A2" s="563" t="s">
        <v>1038</v>
      </c>
      <c r="B2" s="563"/>
      <c r="C2" s="563"/>
      <c r="D2" s="563"/>
      <c r="E2" s="563"/>
      <c r="F2" s="563"/>
      <c r="G2" s="563"/>
      <c r="H2" s="563"/>
    </row>
    <row r="3" spans="1:8">
      <c r="A3" s="563" t="str">
        <f>'Title Page'!A10</f>
        <v>FOR THE TWELVE MONTHS ENDED DECEMBER 31, 2023</v>
      </c>
      <c r="B3" s="563"/>
      <c r="C3" s="563"/>
      <c r="D3" s="563"/>
      <c r="E3" s="563"/>
      <c r="F3" s="563"/>
      <c r="G3" s="563"/>
      <c r="H3" s="563"/>
    </row>
    <row r="5" spans="1:8">
      <c r="A5" s="564" t="s">
        <v>25</v>
      </c>
      <c r="B5" s="564"/>
      <c r="C5" s="564"/>
      <c r="D5" s="564"/>
      <c r="E5" s="564"/>
      <c r="F5" s="564"/>
      <c r="G5" s="564"/>
      <c r="H5" s="564"/>
    </row>
    <row r="6" spans="1:8">
      <c r="A6" s="564" t="s">
        <v>324</v>
      </c>
      <c r="B6" s="564"/>
      <c r="C6" s="564"/>
      <c r="D6" s="564"/>
      <c r="E6" s="564"/>
      <c r="F6" s="564"/>
      <c r="G6" s="564"/>
      <c r="H6" s="564"/>
    </row>
    <row r="7" spans="1:8">
      <c r="F7" s="540"/>
      <c r="G7" s="540"/>
      <c r="H7" s="540"/>
    </row>
    <row r="8" spans="1:8">
      <c r="C8" s="541"/>
      <c r="F8" s="540"/>
      <c r="G8" s="540"/>
      <c r="H8" s="540"/>
    </row>
    <row r="9" spans="1:8">
      <c r="A9" s="597" t="s">
        <v>814</v>
      </c>
      <c r="B9" s="572"/>
      <c r="C9" s="572"/>
      <c r="D9" s="572"/>
      <c r="E9" s="572"/>
      <c r="F9" s="598"/>
    </row>
    <row r="10" spans="1:8">
      <c r="A10" s="251"/>
      <c r="C10" s="540" t="s">
        <v>394</v>
      </c>
      <c r="F10" s="252" t="s">
        <v>344</v>
      </c>
    </row>
    <row r="11" spans="1:8">
      <c r="A11" s="251"/>
      <c r="B11" s="540" t="s">
        <v>394</v>
      </c>
      <c r="C11" s="540" t="s">
        <v>395</v>
      </c>
      <c r="D11" s="540" t="s">
        <v>694</v>
      </c>
      <c r="E11" s="540" t="s">
        <v>452</v>
      </c>
      <c r="F11" s="252" t="s">
        <v>704</v>
      </c>
      <c r="G11" s="540"/>
      <c r="H11" s="540"/>
    </row>
    <row r="12" spans="1:8">
      <c r="A12" s="251"/>
      <c r="B12" s="539" t="s">
        <v>707</v>
      </c>
      <c r="C12" s="539" t="s">
        <v>1383</v>
      </c>
      <c r="D12" s="539" t="s">
        <v>464</v>
      </c>
      <c r="E12" s="539" t="s">
        <v>453</v>
      </c>
      <c r="F12" s="253" t="s">
        <v>705</v>
      </c>
      <c r="G12" s="539"/>
      <c r="H12" s="539"/>
    </row>
    <row r="13" spans="1:8">
      <c r="A13" s="251"/>
      <c r="B13" s="540" t="s">
        <v>695</v>
      </c>
      <c r="C13" s="540" t="s">
        <v>696</v>
      </c>
      <c r="D13" s="540" t="s">
        <v>697</v>
      </c>
      <c r="E13" s="540" t="s">
        <v>698</v>
      </c>
      <c r="F13" s="252" t="s">
        <v>699</v>
      </c>
      <c r="H13" s="540"/>
    </row>
    <row r="14" spans="1:8">
      <c r="A14" s="251" t="s">
        <v>382</v>
      </c>
      <c r="B14" s="540">
        <v>1944</v>
      </c>
      <c r="C14" s="254">
        <v>270</v>
      </c>
      <c r="D14" s="540">
        <v>1177</v>
      </c>
      <c r="E14" s="540">
        <v>421</v>
      </c>
      <c r="F14" s="252">
        <f t="shared" ref="F14:F25" si="0">SUM(B14:E14)</f>
        <v>3812</v>
      </c>
      <c r="G14" s="540"/>
      <c r="H14" s="540"/>
    </row>
    <row r="15" spans="1:8">
      <c r="A15" s="251" t="s">
        <v>383</v>
      </c>
      <c r="B15" s="540">
        <v>2010</v>
      </c>
      <c r="C15" s="254">
        <v>268</v>
      </c>
      <c r="D15" s="540">
        <v>1177</v>
      </c>
      <c r="E15" s="540">
        <v>413</v>
      </c>
      <c r="F15" s="252">
        <f t="shared" si="0"/>
        <v>3868</v>
      </c>
      <c r="G15" s="540"/>
      <c r="H15" s="540"/>
    </row>
    <row r="16" spans="1:8">
      <c r="A16" s="251" t="s">
        <v>384</v>
      </c>
      <c r="B16" s="540">
        <v>1660</v>
      </c>
      <c r="C16" s="254">
        <v>243</v>
      </c>
      <c r="D16" s="540">
        <v>1177</v>
      </c>
      <c r="E16" s="540">
        <v>523</v>
      </c>
      <c r="F16" s="252">
        <f t="shared" si="0"/>
        <v>3603</v>
      </c>
      <c r="G16" s="540"/>
      <c r="H16" s="540"/>
    </row>
    <row r="17" spans="1:10">
      <c r="A17" s="251" t="s">
        <v>385</v>
      </c>
      <c r="B17" s="540">
        <v>1686</v>
      </c>
      <c r="C17" s="254">
        <v>234</v>
      </c>
      <c r="D17" s="540">
        <v>1177</v>
      </c>
      <c r="E17" s="540">
        <v>354</v>
      </c>
      <c r="F17" s="252">
        <f t="shared" si="0"/>
        <v>3451</v>
      </c>
      <c r="G17" s="540"/>
      <c r="H17" s="540"/>
    </row>
    <row r="18" spans="1:10">
      <c r="A18" s="251" t="s">
        <v>386</v>
      </c>
      <c r="B18" s="540">
        <v>2128</v>
      </c>
      <c r="C18" s="254">
        <v>294</v>
      </c>
      <c r="D18" s="540">
        <v>1177</v>
      </c>
      <c r="E18" s="540">
        <v>513</v>
      </c>
      <c r="F18" s="252">
        <f t="shared" si="0"/>
        <v>4112</v>
      </c>
      <c r="G18" s="540"/>
      <c r="H18" s="540"/>
    </row>
    <row r="19" spans="1:10">
      <c r="A19" s="251" t="s">
        <v>387</v>
      </c>
      <c r="B19" s="540">
        <v>2854</v>
      </c>
      <c r="C19" s="254">
        <v>364</v>
      </c>
      <c r="D19" s="540">
        <v>1177</v>
      </c>
      <c r="E19" s="540">
        <v>340</v>
      </c>
      <c r="F19" s="252">
        <f t="shared" si="0"/>
        <v>4735</v>
      </c>
      <c r="G19" s="540"/>
      <c r="H19" s="540"/>
    </row>
    <row r="20" spans="1:10">
      <c r="A20" s="251" t="s">
        <v>388</v>
      </c>
      <c r="B20" s="540">
        <v>3295</v>
      </c>
      <c r="C20" s="254">
        <v>400</v>
      </c>
      <c r="D20" s="540">
        <v>1177</v>
      </c>
      <c r="E20" s="540">
        <v>307</v>
      </c>
      <c r="F20" s="252">
        <f t="shared" si="0"/>
        <v>5179</v>
      </c>
      <c r="G20" s="540"/>
      <c r="H20" s="540"/>
    </row>
    <row r="21" spans="1:10">
      <c r="A21" s="251" t="s">
        <v>389</v>
      </c>
      <c r="B21" s="540">
        <v>2739</v>
      </c>
      <c r="C21" s="254">
        <v>377</v>
      </c>
      <c r="D21" s="540">
        <v>1177</v>
      </c>
      <c r="E21" s="540">
        <v>679</v>
      </c>
      <c r="F21" s="252">
        <f t="shared" si="0"/>
        <v>4972</v>
      </c>
      <c r="G21" s="540"/>
      <c r="H21" s="540"/>
    </row>
    <row r="22" spans="1:10">
      <c r="A22" s="251" t="s">
        <v>390</v>
      </c>
      <c r="B22" s="540">
        <v>2362</v>
      </c>
      <c r="C22" s="254">
        <v>263</v>
      </c>
      <c r="D22" s="540">
        <v>1177</v>
      </c>
      <c r="E22" s="540">
        <v>372</v>
      </c>
      <c r="F22" s="252">
        <f t="shared" si="0"/>
        <v>4174</v>
      </c>
      <c r="G22" s="540"/>
      <c r="H22" s="540"/>
    </row>
    <row r="23" spans="1:10">
      <c r="A23" s="251" t="s">
        <v>391</v>
      </c>
      <c r="B23" s="540">
        <v>1291</v>
      </c>
      <c r="C23" s="254">
        <v>209</v>
      </c>
      <c r="D23" s="540">
        <v>1177</v>
      </c>
      <c r="E23" s="540">
        <v>579</v>
      </c>
      <c r="F23" s="252">
        <f t="shared" si="0"/>
        <v>3256</v>
      </c>
      <c r="G23" s="540"/>
      <c r="H23" s="540"/>
    </row>
    <row r="24" spans="1:10">
      <c r="A24" s="251" t="s">
        <v>392</v>
      </c>
      <c r="B24" s="540">
        <v>1891</v>
      </c>
      <c r="C24" s="254">
        <v>282</v>
      </c>
      <c r="D24" s="540">
        <v>1177</v>
      </c>
      <c r="E24" s="540">
        <v>362</v>
      </c>
      <c r="F24" s="252">
        <f t="shared" si="0"/>
        <v>3712</v>
      </c>
      <c r="G24" s="540"/>
      <c r="H24" s="540"/>
    </row>
    <row r="25" spans="1:10">
      <c r="A25" s="251" t="s">
        <v>393</v>
      </c>
      <c r="B25" s="540">
        <v>1746</v>
      </c>
      <c r="C25" s="254">
        <v>237</v>
      </c>
      <c r="D25" s="540">
        <v>1177</v>
      </c>
      <c r="E25" s="540">
        <v>450</v>
      </c>
      <c r="F25" s="252">
        <f t="shared" si="0"/>
        <v>3610</v>
      </c>
      <c r="G25" s="540"/>
      <c r="H25" s="540"/>
    </row>
    <row r="26" spans="1:10">
      <c r="A26" s="251"/>
      <c r="F26" s="252"/>
      <c r="J26" s="255"/>
    </row>
    <row r="27" spans="1:10">
      <c r="A27" s="251" t="s">
        <v>454</v>
      </c>
      <c r="B27" s="540">
        <f>ROUND(SUM(B14:B25)/12,0)</f>
        <v>2134</v>
      </c>
      <c r="C27" s="540">
        <f>ROUND(SUM(C14:C26)/12,0)</f>
        <v>287</v>
      </c>
      <c r="D27" s="540">
        <f>ROUND(SUM(D14:D26)/12,0)</f>
        <v>1177</v>
      </c>
      <c r="E27" s="540">
        <f>ROUND(SUM(E14:E26)/12,0)</f>
        <v>443</v>
      </c>
      <c r="F27" s="256">
        <f>SUM(F14:F25)/12</f>
        <v>4040.3333333333335</v>
      </c>
      <c r="G27" s="254"/>
      <c r="H27" s="254"/>
      <c r="J27" s="255"/>
    </row>
    <row r="28" spans="1:10">
      <c r="A28" s="251"/>
      <c r="F28" s="256"/>
      <c r="G28" s="254"/>
      <c r="H28" s="254"/>
      <c r="J28" s="255"/>
    </row>
    <row r="29" spans="1:10" ht="26.25" customHeight="1">
      <c r="A29" s="594" t="s">
        <v>1384</v>
      </c>
      <c r="B29" s="595"/>
      <c r="C29" s="595"/>
      <c r="D29" s="595"/>
      <c r="E29" s="595"/>
      <c r="F29" s="596"/>
      <c r="G29" s="540"/>
      <c r="H29" s="540"/>
    </row>
    <row r="30" spans="1:10">
      <c r="B30" s="564"/>
      <c r="C30" s="564"/>
      <c r="D30" s="564"/>
      <c r="E30" s="564"/>
      <c r="F30" s="564"/>
      <c r="G30" s="564"/>
      <c r="H30" s="564"/>
    </row>
    <row r="31" spans="1:10">
      <c r="A31" s="563"/>
      <c r="B31" s="563"/>
      <c r="C31" s="563"/>
      <c r="D31" s="563"/>
      <c r="E31" s="563"/>
      <c r="F31" s="563"/>
      <c r="G31" s="563"/>
    </row>
    <row r="32" spans="1:10">
      <c r="A32" s="193"/>
      <c r="B32" s="193"/>
      <c r="C32" s="193"/>
      <c r="D32" s="193"/>
      <c r="E32" s="193"/>
    </row>
    <row r="33" spans="1:7">
      <c r="A33" s="597" t="s">
        <v>157</v>
      </c>
      <c r="B33" s="572"/>
      <c r="C33" s="572"/>
      <c r="D33" s="572"/>
      <c r="E33" s="572"/>
      <c r="F33" s="572"/>
      <c r="G33" s="598"/>
    </row>
    <row r="34" spans="1:7">
      <c r="A34" s="259"/>
      <c r="B34" s="193"/>
      <c r="C34" s="193"/>
      <c r="D34" s="193"/>
      <c r="E34" s="193"/>
      <c r="G34" s="260" t="s">
        <v>344</v>
      </c>
    </row>
    <row r="35" spans="1:7">
      <c r="A35" s="259"/>
      <c r="C35" s="540" t="s">
        <v>394</v>
      </c>
      <c r="G35" s="260"/>
    </row>
    <row r="36" spans="1:7">
      <c r="A36" s="259"/>
      <c r="B36" s="540" t="s">
        <v>394</v>
      </c>
      <c r="C36" s="540" t="s">
        <v>395</v>
      </c>
      <c r="D36" s="540" t="s">
        <v>694</v>
      </c>
      <c r="G36" s="252"/>
    </row>
    <row r="37" spans="1:7">
      <c r="A37" s="259"/>
      <c r="B37" s="539" t="s">
        <v>1143</v>
      </c>
      <c r="C37" s="539" t="s">
        <v>396</v>
      </c>
      <c r="D37" s="539" t="s">
        <v>464</v>
      </c>
      <c r="E37" s="539" t="s">
        <v>381</v>
      </c>
      <c r="F37" s="539" t="s">
        <v>289</v>
      </c>
      <c r="G37" s="253" t="s">
        <v>381</v>
      </c>
    </row>
    <row r="38" spans="1:7">
      <c r="A38" s="259"/>
      <c r="B38" s="540" t="s">
        <v>700</v>
      </c>
      <c r="C38" s="540" t="s">
        <v>701</v>
      </c>
      <c r="D38" s="261" t="s">
        <v>10</v>
      </c>
      <c r="E38" s="540" t="s">
        <v>703</v>
      </c>
      <c r="F38" s="540" t="s">
        <v>702</v>
      </c>
      <c r="G38" s="252" t="s">
        <v>709</v>
      </c>
    </row>
    <row r="39" spans="1:7">
      <c r="A39" s="259" t="s">
        <v>382</v>
      </c>
      <c r="B39" s="254">
        <f>'Schedule 5'!B15</f>
        <v>2365</v>
      </c>
      <c r="C39" s="254">
        <f>'Schedule 5'!C15</f>
        <v>270</v>
      </c>
      <c r="D39" s="254">
        <f>'Schedule 5'!D15</f>
        <v>1177</v>
      </c>
      <c r="E39" s="254">
        <f>'Schedule 5'!E15</f>
        <v>3812</v>
      </c>
      <c r="F39" s="254">
        <f>'Schedule 5'!F15</f>
        <v>330</v>
      </c>
      <c r="G39" s="256">
        <f>'Schedule 5'!G15</f>
        <v>4142</v>
      </c>
    </row>
    <row r="40" spans="1:7">
      <c r="A40" s="259" t="s">
        <v>383</v>
      </c>
      <c r="B40" s="254">
        <f>'Schedule 5'!B16</f>
        <v>2423</v>
      </c>
      <c r="C40" s="254">
        <f>'Schedule 5'!C16</f>
        <v>268</v>
      </c>
      <c r="D40" s="254">
        <f>'Schedule 5'!D16</f>
        <v>1177</v>
      </c>
      <c r="E40" s="254">
        <f>'Schedule 5'!E16</f>
        <v>3868</v>
      </c>
      <c r="F40" s="254">
        <f>'Schedule 5'!F16</f>
        <v>330</v>
      </c>
      <c r="G40" s="256">
        <f>'Schedule 5'!G16</f>
        <v>4198</v>
      </c>
    </row>
    <row r="41" spans="1:7">
      <c r="A41" s="259" t="s">
        <v>384</v>
      </c>
      <c r="B41" s="254">
        <f>'Schedule 5'!B17</f>
        <v>2183</v>
      </c>
      <c r="C41" s="254">
        <f>'Schedule 5'!C17</f>
        <v>243</v>
      </c>
      <c r="D41" s="254">
        <f>'Schedule 5'!D17</f>
        <v>1177</v>
      </c>
      <c r="E41" s="254">
        <f>'Schedule 5'!E17</f>
        <v>3603</v>
      </c>
      <c r="F41" s="254">
        <f>'Schedule 5'!F17</f>
        <v>330</v>
      </c>
      <c r="G41" s="256">
        <f>'Schedule 5'!G17</f>
        <v>3933</v>
      </c>
    </row>
    <row r="42" spans="1:7">
      <c r="A42" s="259" t="s">
        <v>385</v>
      </c>
      <c r="B42" s="254">
        <f>'Schedule 5'!B18</f>
        <v>2040</v>
      </c>
      <c r="C42" s="254">
        <f>'Schedule 5'!C18</f>
        <v>234</v>
      </c>
      <c r="D42" s="254">
        <f>'Schedule 5'!D18</f>
        <v>1177</v>
      </c>
      <c r="E42" s="254">
        <f>'Schedule 5'!E18</f>
        <v>3451</v>
      </c>
      <c r="F42" s="254">
        <f>'Schedule 5'!F18</f>
        <v>330</v>
      </c>
      <c r="G42" s="256">
        <f>'Schedule 5'!G18</f>
        <v>3781</v>
      </c>
    </row>
    <row r="43" spans="1:7">
      <c r="A43" s="259" t="s">
        <v>386</v>
      </c>
      <c r="B43" s="254">
        <f>'Schedule 5'!B19</f>
        <v>2641</v>
      </c>
      <c r="C43" s="254">
        <f>'Schedule 5'!C19</f>
        <v>294</v>
      </c>
      <c r="D43" s="254">
        <f>'Schedule 5'!D19</f>
        <v>1177</v>
      </c>
      <c r="E43" s="254">
        <f>'Schedule 5'!E19</f>
        <v>4112</v>
      </c>
      <c r="F43" s="254">
        <f>'Schedule 5'!F19</f>
        <v>330</v>
      </c>
      <c r="G43" s="256">
        <f>'Schedule 5'!G19</f>
        <v>4442</v>
      </c>
    </row>
    <row r="44" spans="1:7">
      <c r="A44" s="259" t="s">
        <v>387</v>
      </c>
      <c r="B44" s="254">
        <f>'Schedule 5'!B20</f>
        <v>3194</v>
      </c>
      <c r="C44" s="254">
        <f>'Schedule 5'!C20</f>
        <v>364</v>
      </c>
      <c r="D44" s="254">
        <f>'Schedule 5'!D20</f>
        <v>1177</v>
      </c>
      <c r="E44" s="254">
        <f>'Schedule 5'!E20</f>
        <v>4735</v>
      </c>
      <c r="F44" s="254">
        <f>'Schedule 5'!F20</f>
        <v>330</v>
      </c>
      <c r="G44" s="256">
        <f>'Schedule 5'!G20</f>
        <v>5065</v>
      </c>
    </row>
    <row r="45" spans="1:7">
      <c r="A45" s="259" t="s">
        <v>388</v>
      </c>
      <c r="B45" s="254">
        <f>'Schedule 5'!B21</f>
        <v>3602</v>
      </c>
      <c r="C45" s="254">
        <f>'Schedule 5'!C21</f>
        <v>400</v>
      </c>
      <c r="D45" s="254">
        <f>'Schedule 5'!D21</f>
        <v>1177</v>
      </c>
      <c r="E45" s="254">
        <f>'Schedule 5'!E21</f>
        <v>5179</v>
      </c>
      <c r="F45" s="254">
        <f>'Schedule 5'!F21</f>
        <v>330</v>
      </c>
      <c r="G45" s="256">
        <f>'Schedule 5'!G21</f>
        <v>5509</v>
      </c>
    </row>
    <row r="46" spans="1:7">
      <c r="A46" s="259" t="s">
        <v>389</v>
      </c>
      <c r="B46" s="254">
        <f>'Schedule 5'!B22</f>
        <v>3418</v>
      </c>
      <c r="C46" s="254">
        <f>'Schedule 5'!C22</f>
        <v>377</v>
      </c>
      <c r="D46" s="254">
        <f>'Schedule 5'!D22</f>
        <v>1177</v>
      </c>
      <c r="E46" s="254">
        <f>'Schedule 5'!E22</f>
        <v>4972</v>
      </c>
      <c r="F46" s="254">
        <f>'Schedule 5'!F22</f>
        <v>330</v>
      </c>
      <c r="G46" s="256">
        <f>'Schedule 5'!G22</f>
        <v>5302</v>
      </c>
    </row>
    <row r="47" spans="1:7">
      <c r="A47" s="259" t="s">
        <v>390</v>
      </c>
      <c r="B47" s="254">
        <f>'Schedule 5'!B23</f>
        <v>2734</v>
      </c>
      <c r="C47" s="254">
        <f>'Schedule 5'!C23</f>
        <v>263</v>
      </c>
      <c r="D47" s="254">
        <f>'Schedule 5'!D23</f>
        <v>1177</v>
      </c>
      <c r="E47" s="254">
        <f>'Schedule 5'!E23</f>
        <v>4174</v>
      </c>
      <c r="F47" s="254">
        <f>'Schedule 5'!F23</f>
        <v>330</v>
      </c>
      <c r="G47" s="256">
        <f>'Schedule 5'!G23</f>
        <v>4504</v>
      </c>
    </row>
    <row r="48" spans="1:7">
      <c r="A48" s="259" t="s">
        <v>391</v>
      </c>
      <c r="B48" s="254">
        <f>'Schedule 5'!B24</f>
        <v>1870</v>
      </c>
      <c r="C48" s="254">
        <f>'Schedule 5'!C24</f>
        <v>209</v>
      </c>
      <c r="D48" s="254">
        <f>'Schedule 5'!D24</f>
        <v>1177</v>
      </c>
      <c r="E48" s="254">
        <f>'Schedule 5'!E24</f>
        <v>3256</v>
      </c>
      <c r="F48" s="254">
        <f>'Schedule 5'!F24</f>
        <v>330</v>
      </c>
      <c r="G48" s="256">
        <f>'Schedule 5'!G24</f>
        <v>3586</v>
      </c>
    </row>
    <row r="49" spans="1:8">
      <c r="A49" s="259" t="s">
        <v>392</v>
      </c>
      <c r="B49" s="254">
        <f>'Schedule 5'!B25</f>
        <v>2253</v>
      </c>
      <c r="C49" s="254">
        <f>'Schedule 5'!C25</f>
        <v>282</v>
      </c>
      <c r="D49" s="254">
        <f>'Schedule 5'!D25</f>
        <v>1177</v>
      </c>
      <c r="E49" s="254">
        <f>'Schedule 5'!E25</f>
        <v>3712</v>
      </c>
      <c r="F49" s="254">
        <f>'Schedule 5'!F25</f>
        <v>330</v>
      </c>
      <c r="G49" s="256">
        <f>'Schedule 5'!G25</f>
        <v>4042</v>
      </c>
    </row>
    <row r="50" spans="1:8">
      <c r="A50" s="259" t="s">
        <v>393</v>
      </c>
      <c r="B50" s="254">
        <f>'Schedule 5'!B26</f>
        <v>2196</v>
      </c>
      <c r="C50" s="254">
        <f>'Schedule 5'!C26</f>
        <v>237</v>
      </c>
      <c r="D50" s="254">
        <f>'Schedule 5'!D26</f>
        <v>1177</v>
      </c>
      <c r="E50" s="254">
        <f>'Schedule 5'!E26</f>
        <v>3610</v>
      </c>
      <c r="F50" s="254">
        <f>'Schedule 5'!F26</f>
        <v>330</v>
      </c>
      <c r="G50" s="256">
        <f>'Schedule 5'!G26</f>
        <v>3940</v>
      </c>
    </row>
    <row r="51" spans="1:8">
      <c r="A51" s="259"/>
      <c r="B51" s="193"/>
      <c r="C51" s="193"/>
      <c r="D51" s="193"/>
      <c r="E51" s="193"/>
      <c r="G51" s="256"/>
    </row>
    <row r="52" spans="1:8">
      <c r="A52" s="259" t="s">
        <v>108</v>
      </c>
      <c r="B52" s="254">
        <f>ROUND(SUM(B39:B50)/12,0)</f>
        <v>2577</v>
      </c>
      <c r="C52" s="254">
        <f>ROUND(SUM(C39:C50)/12,0)</f>
        <v>287</v>
      </c>
      <c r="D52" s="254">
        <f>ROUND(SUM(D39:D50)/12,0)</f>
        <v>1177</v>
      </c>
      <c r="E52" s="254">
        <f>ROUND(SUM(E39:E50)/12,0)</f>
        <v>4040</v>
      </c>
      <c r="F52" s="254">
        <f>ROUND(SUM(F39:F50)/12,0)</f>
        <v>330</v>
      </c>
      <c r="G52" s="256">
        <f>'Schedule 5'!G28</f>
        <v>4370.3333333333339</v>
      </c>
    </row>
    <row r="53" spans="1:8">
      <c r="A53" s="259"/>
      <c r="B53" s="193"/>
      <c r="C53" s="193"/>
      <c r="D53" s="193"/>
      <c r="E53" s="193"/>
      <c r="G53" s="260"/>
      <c r="H53" s="540"/>
    </row>
    <row r="54" spans="1:8">
      <c r="A54" s="592" t="s">
        <v>1144</v>
      </c>
      <c r="B54" s="570"/>
      <c r="C54" s="570"/>
      <c r="D54" s="570"/>
      <c r="E54" s="570"/>
      <c r="F54" s="570"/>
      <c r="G54" s="593"/>
    </row>
    <row r="55" spans="1:8" s="540" customFormat="1">
      <c r="A55" s="592"/>
      <c r="B55" s="570"/>
      <c r="C55" s="570"/>
      <c r="D55" s="570"/>
      <c r="E55" s="570"/>
      <c r="F55" s="570"/>
      <c r="G55" s="593"/>
    </row>
    <row r="56" spans="1:8">
      <c r="A56" s="592"/>
      <c r="B56" s="570"/>
      <c r="C56" s="570"/>
      <c r="D56" s="570"/>
      <c r="E56" s="570"/>
      <c r="F56" s="570"/>
      <c r="G56" s="593"/>
    </row>
    <row r="57" spans="1:8">
      <c r="A57" s="592"/>
      <c r="B57" s="570"/>
      <c r="C57" s="570"/>
      <c r="D57" s="570"/>
      <c r="E57" s="570"/>
      <c r="F57" s="570"/>
      <c r="G57" s="593"/>
    </row>
    <row r="58" spans="1:8">
      <c r="A58" s="594"/>
      <c r="B58" s="595"/>
      <c r="C58" s="595"/>
      <c r="D58" s="595"/>
      <c r="E58" s="595"/>
      <c r="F58" s="595"/>
      <c r="G58" s="596"/>
    </row>
    <row r="59" spans="1:8">
      <c r="A59" s="262"/>
      <c r="B59" s="262"/>
      <c r="C59" s="262"/>
      <c r="D59" s="262"/>
      <c r="E59" s="262"/>
      <c r="F59" s="262"/>
      <c r="G59" s="262"/>
    </row>
    <row r="60" spans="1:8">
      <c r="A60" s="263"/>
    </row>
    <row r="62" spans="1:8">
      <c r="A62" s="193"/>
      <c r="B62" s="193"/>
      <c r="C62" s="193"/>
      <c r="D62" s="193"/>
      <c r="E62" s="193"/>
    </row>
  </sheetData>
  <sheetProtection formatCells="0"/>
  <mergeCells count="11">
    <mergeCell ref="A31:G31"/>
    <mergeCell ref="B30:H30"/>
    <mergeCell ref="A54:G58"/>
    <mergeCell ref="A9:F9"/>
    <mergeCell ref="A33:G33"/>
    <mergeCell ref="A29:F29"/>
    <mergeCell ref="A1:H1"/>
    <mergeCell ref="A2:H2"/>
    <mergeCell ref="A3:H3"/>
    <mergeCell ref="A5:H5"/>
    <mergeCell ref="A6:H6"/>
  </mergeCells>
  <phoneticPr fontId="18" type="noConversion"/>
  <printOptions horizontalCentered="1"/>
  <pageMargins left="0.75" right="0.75" top="1" bottom="1" header="0.5" footer="0.5"/>
  <pageSetup scale="7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P51"/>
  <sheetViews>
    <sheetView zoomScale="120" zoomScaleNormal="120" zoomScaleSheetLayoutView="80" zoomScalePageLayoutView="75" workbookViewId="0">
      <selection sqref="A1:XFD1048576"/>
    </sheetView>
  </sheetViews>
  <sheetFormatPr defaultColWidth="11" defaultRowHeight="12.75"/>
  <cols>
    <col min="1" max="1" width="4" style="203" customWidth="1"/>
    <col min="2" max="2" width="42.85546875" style="203" customWidth="1"/>
    <col min="3" max="3" width="11.5703125" style="241" customWidth="1"/>
    <col min="4" max="4" width="10" style="203" customWidth="1"/>
    <col min="5" max="5" width="10.28515625" style="203" customWidth="1"/>
    <col min="6" max="6" width="11.5703125" style="203" customWidth="1"/>
    <col min="7" max="7" width="13.28515625" style="203" customWidth="1"/>
    <col min="8" max="11" width="11.5703125" style="203" customWidth="1"/>
    <col min="12" max="12" width="13.42578125" style="203" customWidth="1"/>
    <col min="13" max="13" width="11.5703125" style="203" customWidth="1"/>
    <col min="14" max="14" width="13.42578125" style="203" bestFit="1" customWidth="1"/>
    <col min="15" max="15" width="11.5703125" style="203" customWidth="1"/>
    <col min="16" max="16384" width="11" style="203"/>
  </cols>
  <sheetData>
    <row r="1" spans="1:16">
      <c r="A1" s="600" t="s">
        <v>459</v>
      </c>
      <c r="B1" s="600"/>
      <c r="C1" s="600"/>
      <c r="D1" s="600"/>
      <c r="E1" s="600"/>
      <c r="F1" s="600"/>
      <c r="G1" s="600"/>
      <c r="H1" s="600"/>
      <c r="I1" s="600"/>
      <c r="J1" s="600"/>
      <c r="K1" s="600"/>
      <c r="L1" s="600"/>
      <c r="M1" s="600"/>
      <c r="N1" s="600"/>
      <c r="O1" s="600"/>
      <c r="P1" s="600"/>
    </row>
    <row r="2" spans="1:16">
      <c r="A2" s="600" t="s">
        <v>1038</v>
      </c>
      <c r="B2" s="600"/>
      <c r="C2" s="600"/>
      <c r="D2" s="600"/>
      <c r="E2" s="600"/>
      <c r="F2" s="600"/>
      <c r="G2" s="600"/>
      <c r="H2" s="600"/>
      <c r="I2" s="600"/>
      <c r="J2" s="600"/>
      <c r="K2" s="600"/>
      <c r="L2" s="600"/>
      <c r="M2" s="600"/>
      <c r="N2" s="600"/>
      <c r="O2" s="600"/>
      <c r="P2" s="600"/>
    </row>
    <row r="3" spans="1:16">
      <c r="A3" s="600" t="str">
        <f>'Title Page'!A10</f>
        <v>FOR THE TWELVE MONTHS ENDED DECEMBER 31, 2023</v>
      </c>
      <c r="B3" s="600"/>
      <c r="C3" s="600"/>
      <c r="D3" s="600"/>
      <c r="E3" s="600"/>
      <c r="F3" s="600"/>
      <c r="G3" s="600"/>
      <c r="H3" s="600"/>
      <c r="I3" s="600"/>
      <c r="J3" s="600"/>
      <c r="K3" s="600"/>
      <c r="L3" s="600"/>
      <c r="M3" s="600"/>
      <c r="N3" s="600"/>
      <c r="O3" s="600"/>
      <c r="P3" s="600"/>
    </row>
    <row r="4" spans="1:16">
      <c r="A4" s="554"/>
      <c r="B4" s="554"/>
      <c r="C4" s="554"/>
      <c r="D4" s="554"/>
      <c r="E4" s="554"/>
      <c r="F4" s="554"/>
      <c r="G4" s="554"/>
      <c r="H4" s="554"/>
      <c r="I4" s="554"/>
      <c r="J4" s="554"/>
      <c r="K4" s="554"/>
      <c r="L4" s="554"/>
      <c r="M4" s="554"/>
      <c r="N4" s="554"/>
      <c r="O4" s="554"/>
      <c r="P4" s="554"/>
    </row>
    <row r="5" spans="1:16" s="193" customFormat="1">
      <c r="A5" s="564" t="s">
        <v>815</v>
      </c>
      <c r="B5" s="564"/>
      <c r="C5" s="564"/>
      <c r="D5" s="564"/>
      <c r="E5" s="564"/>
      <c r="F5" s="564"/>
      <c r="G5" s="564"/>
      <c r="H5" s="564"/>
      <c r="I5" s="564"/>
      <c r="J5" s="564"/>
      <c r="K5" s="564"/>
      <c r="L5" s="564"/>
      <c r="M5" s="564"/>
      <c r="N5" s="564"/>
      <c r="O5" s="564"/>
      <c r="P5" s="564"/>
    </row>
    <row r="6" spans="1:16" s="193" customFormat="1">
      <c r="A6" s="564" t="s">
        <v>816</v>
      </c>
      <c r="B6" s="564"/>
      <c r="C6" s="564"/>
      <c r="D6" s="564"/>
      <c r="E6" s="564"/>
      <c r="F6" s="564"/>
      <c r="G6" s="564"/>
      <c r="H6" s="564"/>
      <c r="I6" s="564"/>
      <c r="J6" s="564"/>
      <c r="K6" s="564"/>
      <c r="L6" s="564"/>
      <c r="M6" s="564"/>
      <c r="N6" s="564"/>
      <c r="O6" s="564"/>
      <c r="P6" s="564"/>
    </row>
    <row r="7" spans="1:16" s="204" customFormat="1">
      <c r="A7" s="564" t="s">
        <v>789</v>
      </c>
      <c r="B7" s="564"/>
      <c r="C7" s="564"/>
      <c r="D7" s="564"/>
      <c r="E7" s="564"/>
      <c r="F7" s="564"/>
      <c r="G7" s="564"/>
      <c r="H7" s="564"/>
      <c r="I7" s="564"/>
      <c r="J7" s="564"/>
      <c r="K7" s="564"/>
      <c r="L7" s="564"/>
      <c r="M7" s="564"/>
      <c r="N7" s="564"/>
      <c r="O7" s="564"/>
      <c r="P7" s="564"/>
    </row>
    <row r="8" spans="1:16" s="193" customFormat="1">
      <c r="A8" s="541"/>
      <c r="B8" s="541"/>
      <c r="C8" s="541"/>
      <c r="D8" s="541"/>
      <c r="E8" s="541"/>
      <c r="F8" s="541"/>
      <c r="G8" s="541"/>
      <c r="H8" s="541"/>
      <c r="I8" s="541"/>
      <c r="J8" s="541"/>
      <c r="K8" s="541"/>
      <c r="L8" s="541"/>
      <c r="M8" s="541"/>
      <c r="N8" s="541"/>
      <c r="O8" s="541"/>
    </row>
    <row r="9" spans="1:16">
      <c r="A9" s="205"/>
      <c r="B9" s="206" t="s">
        <v>753</v>
      </c>
      <c r="C9" s="206" t="s">
        <v>754</v>
      </c>
      <c r="D9" s="206" t="s">
        <v>755</v>
      </c>
      <c r="E9" s="206" t="s">
        <v>756</v>
      </c>
      <c r="F9" s="206" t="s">
        <v>757</v>
      </c>
      <c r="G9" s="206" t="s">
        <v>758</v>
      </c>
      <c r="H9" s="206" t="s">
        <v>759</v>
      </c>
      <c r="I9" s="206" t="s">
        <v>760</v>
      </c>
      <c r="J9" s="206" t="s">
        <v>761</v>
      </c>
      <c r="K9" s="206" t="s">
        <v>762</v>
      </c>
      <c r="L9" s="206" t="s">
        <v>763</v>
      </c>
      <c r="M9" s="206" t="s">
        <v>764</v>
      </c>
      <c r="N9" s="206" t="s">
        <v>765</v>
      </c>
      <c r="O9" s="206" t="s">
        <v>766</v>
      </c>
    </row>
    <row r="10" spans="1:16" ht="13.5" customHeight="1">
      <c r="A10" s="205"/>
      <c r="B10" s="205"/>
      <c r="C10" s="205"/>
      <c r="D10" s="207"/>
      <c r="E10" s="207"/>
      <c r="F10" s="205"/>
      <c r="G10" s="205"/>
      <c r="H10" s="208"/>
      <c r="I10" s="208" t="s">
        <v>474</v>
      </c>
      <c r="J10" s="208"/>
      <c r="K10" s="208"/>
      <c r="L10" s="208" t="s">
        <v>767</v>
      </c>
      <c r="M10" s="208"/>
      <c r="N10" s="208" t="s">
        <v>768</v>
      </c>
      <c r="O10" s="208" t="s">
        <v>769</v>
      </c>
    </row>
    <row r="11" spans="1:16">
      <c r="A11" s="205"/>
      <c r="B11" s="205"/>
      <c r="C11" s="205"/>
      <c r="D11" s="207"/>
      <c r="E11" s="207"/>
      <c r="F11" s="205"/>
      <c r="G11" s="205"/>
      <c r="H11" s="208"/>
      <c r="I11" s="209"/>
      <c r="J11" s="205"/>
      <c r="K11" s="205"/>
      <c r="L11" s="208" t="s">
        <v>475</v>
      </c>
      <c r="M11" s="208"/>
      <c r="N11" s="208" t="s">
        <v>473</v>
      </c>
      <c r="O11" s="205"/>
    </row>
    <row r="12" spans="1:16">
      <c r="A12" s="208" t="s">
        <v>476</v>
      </c>
      <c r="B12" s="205"/>
      <c r="C12" s="208" t="s">
        <v>770</v>
      </c>
      <c r="D12" s="210" t="s">
        <v>771</v>
      </c>
      <c r="E12" s="210" t="s">
        <v>772</v>
      </c>
      <c r="F12" s="599" t="s">
        <v>477</v>
      </c>
      <c r="G12" s="599"/>
      <c r="H12" s="208"/>
      <c r="I12" s="205" t="s">
        <v>773</v>
      </c>
      <c r="J12" s="208" t="s">
        <v>774</v>
      </c>
      <c r="K12" s="208" t="s">
        <v>478</v>
      </c>
      <c r="L12" s="208" t="s">
        <v>479</v>
      </c>
      <c r="M12" s="208"/>
      <c r="N12" s="208" t="s">
        <v>480</v>
      </c>
      <c r="O12" s="208" t="s">
        <v>481</v>
      </c>
    </row>
    <row r="13" spans="1:16">
      <c r="A13" s="211" t="s">
        <v>482</v>
      </c>
      <c r="B13" s="211" t="s">
        <v>460</v>
      </c>
      <c r="C13" s="211" t="s">
        <v>486</v>
      </c>
      <c r="D13" s="212" t="s">
        <v>775</v>
      </c>
      <c r="E13" s="212" t="s">
        <v>775</v>
      </c>
      <c r="F13" s="211" t="s">
        <v>461</v>
      </c>
      <c r="G13" s="211" t="s">
        <v>462</v>
      </c>
      <c r="H13" s="211" t="s">
        <v>483</v>
      </c>
      <c r="I13" s="211" t="s">
        <v>463</v>
      </c>
      <c r="J13" s="211" t="s">
        <v>776</v>
      </c>
      <c r="K13" s="211" t="s">
        <v>484</v>
      </c>
      <c r="L13" s="211" t="s">
        <v>485</v>
      </c>
      <c r="M13" s="211" t="s">
        <v>777</v>
      </c>
      <c r="N13" s="211" t="s">
        <v>487</v>
      </c>
      <c r="O13" s="211" t="s">
        <v>488</v>
      </c>
    </row>
    <row r="14" spans="1:16">
      <c r="A14" s="205"/>
      <c r="B14" s="213" t="s">
        <v>489</v>
      </c>
      <c r="C14" s="213"/>
      <c r="D14" s="207"/>
      <c r="E14" s="207"/>
      <c r="F14" s="205"/>
      <c r="G14" s="205"/>
      <c r="H14" s="205"/>
      <c r="I14" s="205"/>
      <c r="J14" s="205"/>
      <c r="K14" s="205"/>
      <c r="L14" s="205"/>
      <c r="M14" s="205"/>
      <c r="N14" s="205"/>
      <c r="O14" s="205"/>
    </row>
    <row r="15" spans="1:16">
      <c r="A15" s="208">
        <v>1</v>
      </c>
      <c r="B15" s="214" t="s">
        <v>752</v>
      </c>
      <c r="C15" s="115">
        <v>0.06</v>
      </c>
      <c r="D15" s="215">
        <v>37575</v>
      </c>
      <c r="E15" s="215">
        <v>48533</v>
      </c>
      <c r="F15" s="216">
        <v>100000</v>
      </c>
      <c r="G15" s="216">
        <v>100000</v>
      </c>
      <c r="H15" s="217">
        <v>99.456000000000003</v>
      </c>
      <c r="I15" s="218">
        <f t="shared" ref="I15:I27" si="0">IF($H15&lt;100,$G15*(100-H15),0)/100</f>
        <v>543.99999999999693</v>
      </c>
      <c r="J15" s="218">
        <v>750</v>
      </c>
      <c r="K15" s="218">
        <v>441.21600000000001</v>
      </c>
      <c r="L15" s="218">
        <f t="shared" ref="L15:L21" si="1">(G15-I15-J15-K15)</f>
        <v>98264.784</v>
      </c>
      <c r="M15" s="117">
        <f>YIELD(D15,E15,C15,(L15/F15*100),100,2)</f>
        <v>6.127109345623246E-2</v>
      </c>
      <c r="N15" s="218">
        <f>G15*C15</f>
        <v>6000</v>
      </c>
      <c r="O15" s="219">
        <f>(N15/L15*100)</f>
        <v>6.1059514464510505</v>
      </c>
    </row>
    <row r="16" spans="1:16">
      <c r="A16" s="208">
        <f>A15+1</f>
        <v>2</v>
      </c>
      <c r="B16" s="214" t="s">
        <v>490</v>
      </c>
      <c r="C16" s="115">
        <v>5.5E-2</v>
      </c>
      <c r="D16" s="215">
        <v>37754</v>
      </c>
      <c r="E16" s="215">
        <v>48670</v>
      </c>
      <c r="F16" s="216">
        <v>70000</v>
      </c>
      <c r="G16" s="216">
        <v>70000</v>
      </c>
      <c r="H16" s="217">
        <v>99.947999999999993</v>
      </c>
      <c r="I16" s="218">
        <f t="shared" si="0"/>
        <v>36.400000000004695</v>
      </c>
      <c r="J16" s="218">
        <v>525</v>
      </c>
      <c r="K16" s="218">
        <v>3810.2468900000003</v>
      </c>
      <c r="L16" s="218">
        <f t="shared" si="1"/>
        <v>65628.353109999996</v>
      </c>
      <c r="M16" s="117">
        <f t="shared" ref="M16:M22" si="2">YIELD(D16,E16,C16,(L16/F16*100),100,2)</f>
        <v>5.9489763374888566E-2</v>
      </c>
      <c r="N16" s="218">
        <f t="shared" ref="N16:N35" si="3">G16*C16</f>
        <v>3850</v>
      </c>
      <c r="O16" s="219">
        <f t="shared" ref="O16:O27" si="4">(N16/L16*100)</f>
        <v>5.8663669245927847</v>
      </c>
    </row>
    <row r="17" spans="1:15">
      <c r="A17" s="208">
        <f t="shared" ref="A17:A32" si="5">A16+1</f>
        <v>3</v>
      </c>
      <c r="B17" s="214" t="s">
        <v>491</v>
      </c>
      <c r="C17" s="115">
        <v>5.5E-2</v>
      </c>
      <c r="D17" s="215">
        <v>38072</v>
      </c>
      <c r="E17" s="215">
        <v>49018</v>
      </c>
      <c r="F17" s="216">
        <v>50000</v>
      </c>
      <c r="G17" s="216">
        <v>50000</v>
      </c>
      <c r="H17" s="217">
        <v>99.233000000000004</v>
      </c>
      <c r="I17" s="218">
        <f t="shared" si="0"/>
        <v>383.49999999999795</v>
      </c>
      <c r="J17" s="218">
        <v>375</v>
      </c>
      <c r="K17" s="218">
        <v>149.41932</v>
      </c>
      <c r="L17" s="218">
        <f t="shared" si="1"/>
        <v>49092.080679999999</v>
      </c>
      <c r="M17" s="117">
        <f t="shared" si="2"/>
        <v>5.6259085786513958E-2</v>
      </c>
      <c r="N17" s="218">
        <f t="shared" si="3"/>
        <v>2750</v>
      </c>
      <c r="O17" s="219">
        <f t="shared" si="4"/>
        <v>5.6017181629059447</v>
      </c>
    </row>
    <row r="18" spans="1:15">
      <c r="A18" s="208">
        <f t="shared" si="5"/>
        <v>4</v>
      </c>
      <c r="B18" s="214" t="s">
        <v>492</v>
      </c>
      <c r="C18" s="115">
        <v>5.8749999999999997E-2</v>
      </c>
      <c r="D18" s="215">
        <v>38215</v>
      </c>
      <c r="E18" s="215">
        <v>49171</v>
      </c>
      <c r="F18" s="216">
        <v>55000</v>
      </c>
      <c r="G18" s="216">
        <v>55000</v>
      </c>
      <c r="H18" s="217">
        <v>98.64</v>
      </c>
      <c r="I18" s="218">
        <f t="shared" si="0"/>
        <v>747.99999999999966</v>
      </c>
      <c r="J18" s="218">
        <v>412.5</v>
      </c>
      <c r="K18" s="218">
        <v>173.25947999999997</v>
      </c>
      <c r="L18" s="218">
        <f t="shared" si="1"/>
        <v>53666.240519999999</v>
      </c>
      <c r="M18" s="117">
        <f t="shared" si="2"/>
        <v>6.0511966969041583E-2</v>
      </c>
      <c r="N18" s="218">
        <f t="shared" si="3"/>
        <v>3231.25</v>
      </c>
      <c r="O18" s="219">
        <f t="shared" si="4"/>
        <v>6.0210105434827277</v>
      </c>
    </row>
    <row r="19" spans="1:15">
      <c r="A19" s="208">
        <f t="shared" si="5"/>
        <v>5</v>
      </c>
      <c r="B19" s="214" t="s">
        <v>493</v>
      </c>
      <c r="C19" s="115">
        <v>5.2999999999999999E-2</v>
      </c>
      <c r="D19" s="215">
        <v>38590</v>
      </c>
      <c r="E19" s="215">
        <v>49536</v>
      </c>
      <c r="F19" s="216">
        <v>60000</v>
      </c>
      <c r="G19" s="216">
        <v>60000</v>
      </c>
      <c r="H19" s="217">
        <v>99.319000000000003</v>
      </c>
      <c r="I19" s="218">
        <f t="shared" si="0"/>
        <v>408.59999999999837</v>
      </c>
      <c r="J19" s="218">
        <v>450</v>
      </c>
      <c r="K19" s="218">
        <v>3399.7387599999997</v>
      </c>
      <c r="L19" s="218">
        <f t="shared" si="1"/>
        <v>55741.661240000001</v>
      </c>
      <c r="M19" s="117">
        <f t="shared" si="2"/>
        <v>5.8021037371971895E-2</v>
      </c>
      <c r="N19" s="218">
        <f t="shared" si="3"/>
        <v>3180</v>
      </c>
      <c r="O19" s="219">
        <f t="shared" si="4"/>
        <v>5.7048891785055806</v>
      </c>
    </row>
    <row r="20" spans="1:15">
      <c r="A20" s="208">
        <f t="shared" si="5"/>
        <v>6</v>
      </c>
      <c r="B20" s="214" t="s">
        <v>744</v>
      </c>
      <c r="C20" s="115">
        <v>6.3E-2</v>
      </c>
      <c r="D20" s="215">
        <v>39255</v>
      </c>
      <c r="E20" s="215">
        <v>50206</v>
      </c>
      <c r="F20" s="216">
        <v>140000</v>
      </c>
      <c r="G20" s="216">
        <v>140000</v>
      </c>
      <c r="H20" s="217">
        <v>99.801000000000002</v>
      </c>
      <c r="I20" s="218">
        <f t="shared" si="0"/>
        <v>278.59999999999729</v>
      </c>
      <c r="J20" s="218">
        <v>1050</v>
      </c>
      <c r="K20" s="218">
        <v>450.03067999999996</v>
      </c>
      <c r="L20" s="218">
        <f t="shared" si="1"/>
        <v>138221.36932</v>
      </c>
      <c r="M20" s="117">
        <f t="shared" si="2"/>
        <v>6.3956176346651808E-2</v>
      </c>
      <c r="N20" s="218">
        <f t="shared" si="3"/>
        <v>8820</v>
      </c>
      <c r="O20" s="219">
        <f t="shared" si="4"/>
        <v>6.3810683133811104</v>
      </c>
    </row>
    <row r="21" spans="1:15">
      <c r="A21" s="208">
        <f t="shared" si="5"/>
        <v>7</v>
      </c>
      <c r="B21" s="214" t="s">
        <v>745</v>
      </c>
      <c r="C21" s="115">
        <v>6.25E-2</v>
      </c>
      <c r="D21" s="215">
        <v>39373</v>
      </c>
      <c r="E21" s="215">
        <v>50328</v>
      </c>
      <c r="F21" s="216">
        <v>100000</v>
      </c>
      <c r="G21" s="216">
        <v>100000</v>
      </c>
      <c r="H21" s="217">
        <v>99.731999999999999</v>
      </c>
      <c r="I21" s="218">
        <f t="shared" si="0"/>
        <v>268.00000000000068</v>
      </c>
      <c r="J21" s="218">
        <v>750</v>
      </c>
      <c r="K21" s="218">
        <v>477.48976999999996</v>
      </c>
      <c r="L21" s="218">
        <f t="shared" si="1"/>
        <v>98504.51023</v>
      </c>
      <c r="M21" s="117">
        <f t="shared" si="2"/>
        <v>6.362251555849123E-2</v>
      </c>
      <c r="N21" s="218">
        <f t="shared" si="3"/>
        <v>6250</v>
      </c>
      <c r="O21" s="219">
        <f t="shared" si="4"/>
        <v>6.3448871380678504</v>
      </c>
    </row>
    <row r="22" spans="1:15">
      <c r="A22" s="208">
        <f t="shared" si="5"/>
        <v>8</v>
      </c>
      <c r="B22" s="214" t="s">
        <v>790</v>
      </c>
      <c r="C22" s="115">
        <v>4.8500000000000001E-2</v>
      </c>
      <c r="D22" s="215">
        <v>40420</v>
      </c>
      <c r="E22" s="215">
        <v>51363</v>
      </c>
      <c r="F22" s="216">
        <v>100000</v>
      </c>
      <c r="G22" s="216">
        <v>100000</v>
      </c>
      <c r="H22" s="217">
        <v>99.83</v>
      </c>
      <c r="I22" s="218">
        <f t="shared" si="0"/>
        <v>170.00000000000171</v>
      </c>
      <c r="J22" s="218">
        <v>750</v>
      </c>
      <c r="K22" s="218">
        <v>534.87079999999992</v>
      </c>
      <c r="L22" s="218">
        <f>(G22-I22-J22-K22)</f>
        <v>98545.129199999996</v>
      </c>
      <c r="M22" s="117">
        <f t="shared" si="2"/>
        <v>4.943446770003905E-2</v>
      </c>
      <c r="N22" s="218">
        <f t="shared" si="3"/>
        <v>4850</v>
      </c>
      <c r="O22" s="219">
        <f t="shared" si="4"/>
        <v>4.9216029644213002</v>
      </c>
    </row>
    <row r="23" spans="1:15">
      <c r="A23" s="208">
        <f t="shared" si="5"/>
        <v>9</v>
      </c>
      <c r="B23" s="214" t="s">
        <v>843</v>
      </c>
      <c r="C23" s="115">
        <v>4.2999999999999997E-2</v>
      </c>
      <c r="D23" s="215">
        <v>41012</v>
      </c>
      <c r="E23" s="215">
        <v>51957</v>
      </c>
      <c r="F23" s="216">
        <v>75000</v>
      </c>
      <c r="G23" s="216">
        <v>75000</v>
      </c>
      <c r="H23" s="217">
        <v>99.933999999999997</v>
      </c>
      <c r="I23" s="218">
        <f t="shared" si="0"/>
        <v>49.500000000001876</v>
      </c>
      <c r="J23" s="218">
        <v>562.5</v>
      </c>
      <c r="K23" s="218">
        <v>1397.7900649999999</v>
      </c>
      <c r="L23" s="218">
        <f>(G23-I23-J23-K23)</f>
        <v>72990.209935000006</v>
      </c>
      <c r="M23" s="117">
        <f t="shared" ref="M23:M27" si="6">YIELD(D23,E23,C23,(L23/F23*100),100,2)</f>
        <v>4.4629381714833362E-2</v>
      </c>
      <c r="N23" s="218">
        <f t="shared" si="3"/>
        <v>3224.9999999999995</v>
      </c>
      <c r="O23" s="219">
        <f t="shared" si="4"/>
        <v>4.418400773024163</v>
      </c>
    </row>
    <row r="24" spans="1:15">
      <c r="A24" s="208">
        <f t="shared" si="5"/>
        <v>10</v>
      </c>
      <c r="B24" s="214" t="s">
        <v>853</v>
      </c>
      <c r="C24" s="115">
        <v>0.04</v>
      </c>
      <c r="D24" s="215">
        <v>41372</v>
      </c>
      <c r="E24" s="215">
        <v>52322</v>
      </c>
      <c r="F24" s="216">
        <v>75000</v>
      </c>
      <c r="G24" s="216">
        <v>75000</v>
      </c>
      <c r="H24" s="217">
        <v>99.741</v>
      </c>
      <c r="I24" s="218">
        <f t="shared" si="0"/>
        <v>194.25000000000026</v>
      </c>
      <c r="J24" s="218">
        <v>562.5</v>
      </c>
      <c r="K24" s="218">
        <v>179.22790999999998</v>
      </c>
      <c r="L24" s="218">
        <f t="shared" ref="L24:L27" si="7">(G24-I24-J24-K24)</f>
        <v>74064.022089999999</v>
      </c>
      <c r="M24" s="117">
        <f t="shared" si="6"/>
        <v>4.0724145402409428E-2</v>
      </c>
      <c r="N24" s="218">
        <f t="shared" si="3"/>
        <v>3000</v>
      </c>
      <c r="O24" s="219">
        <f t="shared" si="4"/>
        <v>4.050549666820018</v>
      </c>
    </row>
    <row r="25" spans="1:15">
      <c r="A25" s="208">
        <f t="shared" si="5"/>
        <v>11</v>
      </c>
      <c r="B25" s="214" t="s">
        <v>890</v>
      </c>
      <c r="C25" s="115">
        <v>3.6499999999999998E-2</v>
      </c>
      <c r="D25" s="215">
        <v>42069</v>
      </c>
      <c r="E25" s="215">
        <v>53022</v>
      </c>
      <c r="F25" s="216">
        <v>250000</v>
      </c>
      <c r="G25" s="216">
        <v>250000</v>
      </c>
      <c r="H25" s="217">
        <v>99.313999999999993</v>
      </c>
      <c r="I25" s="218">
        <f t="shared" si="0"/>
        <v>1715.0000000000177</v>
      </c>
      <c r="J25" s="218">
        <v>1875</v>
      </c>
      <c r="K25" s="218">
        <v>19137.506000000001</v>
      </c>
      <c r="L25" s="218">
        <f t="shared" si="7"/>
        <v>227272.49399999998</v>
      </c>
      <c r="M25" s="117">
        <f t="shared" si="6"/>
        <v>4.1849295409802867E-2</v>
      </c>
      <c r="N25" s="218">
        <f t="shared" si="3"/>
        <v>9125</v>
      </c>
      <c r="O25" s="219">
        <f t="shared" si="4"/>
        <v>4.0150041210002305</v>
      </c>
    </row>
    <row r="26" spans="1:15">
      <c r="A26" s="208">
        <f t="shared" si="5"/>
        <v>12</v>
      </c>
      <c r="B26" s="214" t="s">
        <v>923</v>
      </c>
      <c r="C26" s="115">
        <v>4.0500000000000001E-2</v>
      </c>
      <c r="D26" s="215">
        <v>42439</v>
      </c>
      <c r="E26" s="215">
        <v>53387</v>
      </c>
      <c r="F26" s="216">
        <v>120000</v>
      </c>
      <c r="G26" s="216">
        <v>120000</v>
      </c>
      <c r="H26" s="217">
        <v>99.742000000000004</v>
      </c>
      <c r="I26" s="218">
        <f t="shared" si="0"/>
        <v>309.59999999999468</v>
      </c>
      <c r="J26" s="218">
        <v>900</v>
      </c>
      <c r="K26" s="218">
        <v>14689.402</v>
      </c>
      <c r="L26" s="218">
        <f t="shared" si="7"/>
        <v>104100.99800000001</v>
      </c>
      <c r="M26" s="117">
        <f t="shared" si="6"/>
        <v>4.8975753139243114E-2</v>
      </c>
      <c r="N26" s="218">
        <f t="shared" si="3"/>
        <v>4860</v>
      </c>
      <c r="O26" s="219">
        <f t="shared" si="4"/>
        <v>4.6685431392309988</v>
      </c>
    </row>
    <row r="27" spans="1:15">
      <c r="A27" s="208">
        <f t="shared" si="5"/>
        <v>13</v>
      </c>
      <c r="B27" s="214" t="s">
        <v>947</v>
      </c>
      <c r="C27" s="115">
        <v>4.2000000000000003E-2</v>
      </c>
      <c r="D27" s="215">
        <v>43175</v>
      </c>
      <c r="E27" s="215">
        <v>54118</v>
      </c>
      <c r="F27" s="216">
        <v>220000</v>
      </c>
      <c r="G27" s="216">
        <v>220000</v>
      </c>
      <c r="H27" s="217">
        <v>99.63</v>
      </c>
      <c r="I27" s="218">
        <f t="shared" si="0"/>
        <v>814.00000000001</v>
      </c>
      <c r="J27" s="218">
        <v>1650</v>
      </c>
      <c r="K27" s="218">
        <v>5532.0465599999989</v>
      </c>
      <c r="L27" s="218">
        <f t="shared" si="7"/>
        <v>212003.95344000001</v>
      </c>
      <c r="M27" s="134">
        <f t="shared" si="6"/>
        <v>4.4199248086257345E-2</v>
      </c>
      <c r="N27" s="218">
        <f t="shared" si="3"/>
        <v>9240</v>
      </c>
      <c r="O27" s="219">
        <f t="shared" si="4"/>
        <v>4.3584092891055661</v>
      </c>
    </row>
    <row r="28" spans="1:15">
      <c r="A28" s="208">
        <f t="shared" si="5"/>
        <v>14</v>
      </c>
      <c r="B28" s="214" t="s">
        <v>947</v>
      </c>
      <c r="C28" s="115">
        <v>4.2000000000000003E-2</v>
      </c>
      <c r="D28" s="215">
        <v>43924</v>
      </c>
      <c r="E28" s="215">
        <v>54118</v>
      </c>
      <c r="F28" s="216">
        <v>230000</v>
      </c>
      <c r="G28" s="216">
        <v>230000</v>
      </c>
      <c r="H28" s="217">
        <v>113.76300000000001</v>
      </c>
      <c r="I28" s="218">
        <f>IF($H28&gt;100,$G28*(100-H28),0)/100</f>
        <v>-31654.900000000012</v>
      </c>
      <c r="J28" s="218">
        <v>1725</v>
      </c>
      <c r="K28" s="218">
        <v>621.1161500000004</v>
      </c>
      <c r="L28" s="218">
        <f>(G28-I28-J28-K28)</f>
        <v>259308.78385000004</v>
      </c>
      <c r="M28" s="134">
        <f>YIELD(D28,E28,C28,(L28/F28*100),100,2)</f>
        <v>3.4823612583468319E-2</v>
      </c>
      <c r="N28" s="218">
        <f t="shared" si="3"/>
        <v>9660</v>
      </c>
      <c r="O28" s="219">
        <f>(N28/L28*100)</f>
        <v>3.7252883826673342</v>
      </c>
    </row>
    <row r="29" spans="1:15">
      <c r="A29" s="208">
        <f t="shared" si="5"/>
        <v>15</v>
      </c>
      <c r="B29" s="214" t="s">
        <v>1178</v>
      </c>
      <c r="C29" s="115">
        <v>1.9E-2</v>
      </c>
      <c r="D29" s="215">
        <v>44004</v>
      </c>
      <c r="E29" s="215">
        <v>47679</v>
      </c>
      <c r="F29" s="216">
        <v>80000</v>
      </c>
      <c r="G29" s="216">
        <v>80000</v>
      </c>
      <c r="H29" s="217">
        <v>99.59</v>
      </c>
      <c r="I29" s="218">
        <f t="shared" ref="I29:I35" si="8">IF($H29&lt;100,$G29*(100-H29),0)/100</f>
        <v>327.99999999999721</v>
      </c>
      <c r="J29" s="218">
        <v>520</v>
      </c>
      <c r="K29" s="218">
        <v>3925.2689999999998</v>
      </c>
      <c r="L29" s="218">
        <f t="shared" ref="L29:L35" si="9">(G29-I29-J29-K29)</f>
        <v>75226.731</v>
      </c>
      <c r="M29" s="134">
        <f t="shared" ref="M29" si="10">YIELD(D29,E29,C29,(L29/F29*100),100,2)</f>
        <v>2.5767753083780688E-2</v>
      </c>
      <c r="N29" s="218">
        <f t="shared" si="3"/>
        <v>1520</v>
      </c>
      <c r="O29" s="219">
        <f t="shared" ref="O29:O35" si="11">(N29/L29*100)</f>
        <v>2.0205583571084591</v>
      </c>
    </row>
    <row r="30" spans="1:15">
      <c r="A30" s="208">
        <f t="shared" si="5"/>
        <v>16</v>
      </c>
      <c r="B30" s="214" t="s">
        <v>1179</v>
      </c>
      <c r="C30" s="115">
        <v>4.99E-2</v>
      </c>
      <c r="D30" s="215">
        <v>44917</v>
      </c>
      <c r="E30" s="215">
        <v>48570</v>
      </c>
      <c r="F30" s="216">
        <v>23000</v>
      </c>
      <c r="G30" s="216">
        <v>23000</v>
      </c>
      <c r="H30" s="220">
        <v>100</v>
      </c>
      <c r="I30" s="221">
        <f t="shared" si="8"/>
        <v>0</v>
      </c>
      <c r="J30" s="218">
        <v>115.3</v>
      </c>
      <c r="K30" s="218">
        <v>53.857999999999997</v>
      </c>
      <c r="L30" s="218">
        <f t="shared" si="9"/>
        <v>22830.842000000001</v>
      </c>
      <c r="M30" s="134">
        <f>YIELD(D30,E30,C30,(L30/F30*100),100,2)</f>
        <v>5.0847345561613327E-2</v>
      </c>
      <c r="N30" s="218">
        <f t="shared" si="3"/>
        <v>1147.7</v>
      </c>
      <c r="O30" s="219">
        <f t="shared" si="11"/>
        <v>5.0269718479940426</v>
      </c>
    </row>
    <row r="31" spans="1:15">
      <c r="A31" s="208">
        <f t="shared" si="5"/>
        <v>17</v>
      </c>
      <c r="B31" s="214" t="s">
        <v>1180</v>
      </c>
      <c r="C31" s="149">
        <v>5.0599999999999999E-2</v>
      </c>
      <c r="D31" s="215">
        <v>44917</v>
      </c>
      <c r="E31" s="215">
        <v>52222</v>
      </c>
      <c r="F31" s="216">
        <v>25000</v>
      </c>
      <c r="G31" s="216">
        <v>25000</v>
      </c>
      <c r="H31" s="220">
        <v>100</v>
      </c>
      <c r="I31" s="221">
        <f t="shared" si="8"/>
        <v>0</v>
      </c>
      <c r="J31" s="218">
        <v>125.3</v>
      </c>
      <c r="K31" s="218">
        <v>58.542000000000002</v>
      </c>
      <c r="L31" s="218">
        <f t="shared" si="9"/>
        <v>24816.157999999999</v>
      </c>
      <c r="M31" s="134">
        <f>YIELD(D31,E31,C31,(L31/F31*100),100,2)</f>
        <v>5.1191780607339754E-2</v>
      </c>
      <c r="N31" s="218">
        <f t="shared" si="3"/>
        <v>1265</v>
      </c>
      <c r="O31" s="219">
        <f t="shared" si="11"/>
        <v>5.0974852755208921</v>
      </c>
    </row>
    <row r="32" spans="1:15" s="205" customFormat="1">
      <c r="A32" s="208">
        <f t="shared" si="5"/>
        <v>18</v>
      </c>
      <c r="B32" s="214" t="s">
        <v>1210</v>
      </c>
      <c r="C32" s="149">
        <v>5.0599999999999999E-2</v>
      </c>
      <c r="D32" s="215">
        <v>44993</v>
      </c>
      <c r="E32" s="215">
        <v>52298</v>
      </c>
      <c r="F32" s="216">
        <v>60000</v>
      </c>
      <c r="G32" s="216">
        <v>60000</v>
      </c>
      <c r="H32" s="220">
        <v>100</v>
      </c>
      <c r="I32" s="221">
        <f t="shared" si="8"/>
        <v>0</v>
      </c>
      <c r="J32" s="218">
        <v>300.7</v>
      </c>
      <c r="K32" s="218">
        <v>140.5</v>
      </c>
      <c r="L32" s="218">
        <f t="shared" si="9"/>
        <v>59558.8</v>
      </c>
      <c r="M32" s="134">
        <f t="shared" ref="M32:M35" si="12">YIELD(D32,E32,C32,(L32/F32*100),100,2)</f>
        <v>5.1191752570634623E-2</v>
      </c>
      <c r="N32" s="218">
        <f t="shared" si="3"/>
        <v>3036</v>
      </c>
      <c r="O32" s="219">
        <f t="shared" si="11"/>
        <v>5.0974834953021215</v>
      </c>
    </row>
    <row r="33" spans="1:15" s="205" customFormat="1">
      <c r="A33" s="208">
        <v>19</v>
      </c>
      <c r="B33" s="214" t="s">
        <v>1211</v>
      </c>
      <c r="C33" s="149">
        <v>5.1999999999999998E-2</v>
      </c>
      <c r="D33" s="215">
        <v>44993</v>
      </c>
      <c r="E33" s="215">
        <v>55951</v>
      </c>
      <c r="F33" s="216">
        <v>62000</v>
      </c>
      <c r="G33" s="216">
        <v>62000</v>
      </c>
      <c r="H33" s="220">
        <v>100</v>
      </c>
      <c r="I33" s="221">
        <f t="shared" si="8"/>
        <v>0</v>
      </c>
      <c r="J33" s="218">
        <v>310.7</v>
      </c>
      <c r="K33" s="218">
        <v>145.18299999999999</v>
      </c>
      <c r="L33" s="218">
        <f t="shared" si="9"/>
        <v>61544.117000000006</v>
      </c>
      <c r="M33" s="134">
        <f t="shared" si="12"/>
        <v>5.248936547792634E-2</v>
      </c>
      <c r="N33" s="218">
        <f t="shared" si="3"/>
        <v>3224</v>
      </c>
      <c r="O33" s="219">
        <f t="shared" si="11"/>
        <v>5.2385185735949378</v>
      </c>
    </row>
    <row r="34" spans="1:15" s="205" customFormat="1">
      <c r="A34" s="208">
        <v>20</v>
      </c>
      <c r="B34" s="214" t="s">
        <v>1212</v>
      </c>
      <c r="C34" s="149">
        <v>5.5E-2</v>
      </c>
      <c r="D34" s="215">
        <v>44999</v>
      </c>
      <c r="E34" s="215">
        <v>55958</v>
      </c>
      <c r="F34" s="216">
        <v>400000</v>
      </c>
      <c r="G34" s="216">
        <v>400000</v>
      </c>
      <c r="H34" s="220">
        <v>99.057000000000002</v>
      </c>
      <c r="I34" s="221">
        <f t="shared" si="8"/>
        <v>3771.9999999999914</v>
      </c>
      <c r="J34" s="218">
        <v>3500.0000000000005</v>
      </c>
      <c r="K34" s="218">
        <v>881.22199999999998</v>
      </c>
      <c r="L34" s="218">
        <f t="shared" si="9"/>
        <v>391846.77799999999</v>
      </c>
      <c r="M34" s="134">
        <f t="shared" si="12"/>
        <v>5.6416727066108167E-2</v>
      </c>
      <c r="N34" s="218">
        <f t="shared" si="3"/>
        <v>22000</v>
      </c>
      <c r="O34" s="219">
        <f t="shared" si="11"/>
        <v>5.6144394276479161</v>
      </c>
    </row>
    <row r="35" spans="1:15" s="205" customFormat="1">
      <c r="A35" s="208">
        <v>21</v>
      </c>
      <c r="B35" s="214" t="s">
        <v>1213</v>
      </c>
      <c r="C35" s="149">
        <v>5.8000000000000003E-2</v>
      </c>
      <c r="D35" s="215">
        <v>45180</v>
      </c>
      <c r="E35" s="215">
        <v>56340</v>
      </c>
      <c r="F35" s="222">
        <v>350000</v>
      </c>
      <c r="G35" s="222">
        <v>350000</v>
      </c>
      <c r="H35" s="223">
        <v>99.075999999999993</v>
      </c>
      <c r="I35" s="224">
        <f t="shared" si="8"/>
        <v>3234.0000000000232</v>
      </c>
      <c r="J35" s="225">
        <v>3062.5000000000005</v>
      </c>
      <c r="K35" s="225">
        <v>707.11099999999999</v>
      </c>
      <c r="L35" s="225">
        <f t="shared" si="9"/>
        <v>342996.38900000002</v>
      </c>
      <c r="M35" s="138">
        <f t="shared" si="12"/>
        <v>5.9424626946709136E-2</v>
      </c>
      <c r="N35" s="225">
        <f t="shared" si="3"/>
        <v>20300</v>
      </c>
      <c r="O35" s="226">
        <f t="shared" si="11"/>
        <v>5.9184296543716677</v>
      </c>
    </row>
    <row r="36" spans="1:15">
      <c r="A36" s="208"/>
      <c r="B36" s="214" t="s">
        <v>494</v>
      </c>
      <c r="C36" s="214"/>
      <c r="D36" s="227"/>
      <c r="E36" s="227"/>
      <c r="F36" s="216">
        <f>SUM(F15:F35)</f>
        <v>2645000</v>
      </c>
      <c r="G36" s="216">
        <f>SUM(G15:G35)</f>
        <v>2645000</v>
      </c>
      <c r="H36" s="217"/>
      <c r="I36" s="216">
        <f>SUM(I15:I35)</f>
        <v>-18401.449999999979</v>
      </c>
      <c r="J36" s="216">
        <f>SUM(J15:J35)</f>
        <v>20272</v>
      </c>
      <c r="K36" s="216">
        <f>SUM(K15:K35)</f>
        <v>56905.045385000005</v>
      </c>
      <c r="L36" s="216">
        <f>SUM(L15:L35)</f>
        <v>2586224.4046149999</v>
      </c>
      <c r="M36" s="228"/>
      <c r="N36" s="216">
        <f>SUM(N15:N35)</f>
        <v>130533.95</v>
      </c>
      <c r="O36" s="229">
        <f>(N36/L36)</f>
        <v>5.0472785643453096E-2</v>
      </c>
    </row>
    <row r="37" spans="1:15">
      <c r="B37" s="214"/>
      <c r="C37" s="214"/>
      <c r="D37" s="227"/>
      <c r="E37" s="227"/>
      <c r="F37" s="216"/>
      <c r="G37" s="216"/>
      <c r="H37" s="217"/>
      <c r="I37" s="221"/>
      <c r="J37" s="218"/>
      <c r="K37" s="218"/>
      <c r="L37" s="218"/>
      <c r="M37" s="228"/>
      <c r="N37" s="218"/>
      <c r="O37" s="102"/>
    </row>
    <row r="38" spans="1:15">
      <c r="A38" s="208"/>
      <c r="B38" s="214" t="s">
        <v>495</v>
      </c>
      <c r="C38" s="214"/>
      <c r="D38" s="227"/>
      <c r="E38" s="227"/>
      <c r="F38" s="216"/>
      <c r="G38" s="216"/>
      <c r="H38" s="217"/>
      <c r="I38" s="221"/>
      <c r="J38" s="218"/>
      <c r="K38" s="218"/>
      <c r="L38" s="218"/>
      <c r="M38" s="228"/>
      <c r="N38" s="218"/>
      <c r="O38" s="219"/>
    </row>
    <row r="39" spans="1:15">
      <c r="A39" s="208">
        <f>A35+1</f>
        <v>22</v>
      </c>
      <c r="B39" s="230" t="s">
        <v>778</v>
      </c>
      <c r="C39" s="115">
        <v>1.7000000000000001E-2</v>
      </c>
      <c r="D39" s="215">
        <v>43698</v>
      </c>
      <c r="E39" s="215">
        <v>46218</v>
      </c>
      <c r="F39" s="216">
        <v>116300</v>
      </c>
      <c r="G39" s="216">
        <v>116300</v>
      </c>
      <c r="H39" s="217">
        <v>100</v>
      </c>
      <c r="I39" s="221">
        <v>0</v>
      </c>
      <c r="J39" s="218">
        <v>930.4</v>
      </c>
      <c r="K39" s="218">
        <v>8612.8939939999982</v>
      </c>
      <c r="L39" s="218">
        <f>(G39-I39-J39-K39)</f>
        <v>106756.70600600001</v>
      </c>
      <c r="M39" s="117">
        <f>YIELD(D39,E39,C39,(L39/F39*100),100,2)</f>
        <v>3.0265111733622462E-2</v>
      </c>
      <c r="N39" s="218">
        <f>G39*C39</f>
        <v>1977.1000000000001</v>
      </c>
      <c r="O39" s="219">
        <f>(N39/L39*100)</f>
        <v>1.8519679690087869</v>
      </c>
    </row>
    <row r="40" spans="1:15">
      <c r="A40" s="208">
        <f>A39+1</f>
        <v>23</v>
      </c>
      <c r="B40" s="214" t="s">
        <v>779</v>
      </c>
      <c r="C40" s="115">
        <v>1.4500000000000001E-2</v>
      </c>
      <c r="D40" s="215">
        <v>43698</v>
      </c>
      <c r="E40" s="215">
        <v>45627</v>
      </c>
      <c r="F40" s="216">
        <v>49800</v>
      </c>
      <c r="G40" s="216">
        <v>49800</v>
      </c>
      <c r="H40" s="217">
        <v>100</v>
      </c>
      <c r="I40" s="221">
        <v>0</v>
      </c>
      <c r="J40" s="218">
        <v>398.4</v>
      </c>
      <c r="K40" s="218">
        <v>4352.9272459999993</v>
      </c>
      <c r="L40" s="218">
        <f>(G40-I40-J40-K40)</f>
        <v>45048.672753999999</v>
      </c>
      <c r="M40" s="117">
        <f>YIELD(D40,E40,C40,(L40/F40*100),100,2)</f>
        <v>3.4420531887437843E-2</v>
      </c>
      <c r="N40" s="218">
        <f>G40*C40</f>
        <v>722.1</v>
      </c>
      <c r="O40" s="219">
        <f>(N40/L40*100)</f>
        <v>1.6029329075758012</v>
      </c>
    </row>
    <row r="41" spans="1:15">
      <c r="A41" s="208"/>
      <c r="B41" s="214"/>
      <c r="C41" s="214"/>
      <c r="D41" s="215"/>
      <c r="E41" s="215"/>
      <c r="F41" s="222"/>
      <c r="G41" s="222"/>
      <c r="H41" s="231"/>
      <c r="I41" s="224"/>
      <c r="J41" s="225"/>
      <c r="K41" s="225"/>
      <c r="L41" s="225"/>
      <c r="M41" s="232"/>
      <c r="N41" s="225"/>
      <c r="O41" s="226"/>
    </row>
    <row r="42" spans="1:15">
      <c r="A42" s="208">
        <f>A40+1</f>
        <v>24</v>
      </c>
      <c r="B42" s="214" t="s">
        <v>496</v>
      </c>
      <c r="C42" s="214"/>
      <c r="D42" s="207"/>
      <c r="E42" s="207"/>
      <c r="F42" s="216">
        <f>SUM(F39:F41)</f>
        <v>166100</v>
      </c>
      <c r="G42" s="216">
        <f>SUM(G39:G41)</f>
        <v>166100</v>
      </c>
      <c r="H42" s="217"/>
      <c r="I42" s="221">
        <f>SUM(I39:I41)</f>
        <v>0</v>
      </c>
      <c r="J42" s="218">
        <f>SUM(J39:J41)</f>
        <v>1328.8</v>
      </c>
      <c r="K42" s="218">
        <f>SUM(K39:K41)</f>
        <v>12965.821239999997</v>
      </c>
      <c r="L42" s="218">
        <f>SUM(L39:L41)</f>
        <v>151805.37875999999</v>
      </c>
      <c r="M42" s="228"/>
      <c r="N42" s="218">
        <f>SUM(N39:N41)</f>
        <v>2699.2000000000003</v>
      </c>
      <c r="O42" s="219">
        <f>(N42/L42*100)</f>
        <v>1.7780661146844863</v>
      </c>
    </row>
    <row r="43" spans="1:15">
      <c r="A43" s="208"/>
      <c r="B43" s="214"/>
      <c r="C43" s="214"/>
      <c r="D43" s="207"/>
      <c r="E43" s="207"/>
      <c r="F43" s="216"/>
      <c r="G43" s="216"/>
      <c r="H43" s="217"/>
      <c r="I43" s="221"/>
      <c r="J43" s="218"/>
      <c r="K43" s="218"/>
      <c r="L43" s="218"/>
      <c r="M43" s="228"/>
      <c r="N43" s="218"/>
      <c r="O43" s="219"/>
    </row>
    <row r="44" spans="1:15">
      <c r="A44" s="205"/>
      <c r="B44" s="214"/>
      <c r="C44" s="214"/>
      <c r="D44" s="207"/>
      <c r="E44" s="207"/>
      <c r="F44" s="216"/>
      <c r="G44" s="216"/>
      <c r="H44" s="216"/>
      <c r="I44" s="233"/>
      <c r="J44" s="218"/>
      <c r="K44" s="218"/>
      <c r="L44" s="218"/>
      <c r="M44" s="218"/>
      <c r="N44" s="218"/>
      <c r="O44" s="234"/>
    </row>
    <row r="45" spans="1:15" ht="13.5" thickBot="1">
      <c r="A45" s="208">
        <f>A42+1</f>
        <v>25</v>
      </c>
      <c r="B45" s="214" t="s">
        <v>497</v>
      </c>
      <c r="C45" s="214"/>
      <c r="D45" s="207"/>
      <c r="E45" s="207"/>
      <c r="F45" s="235">
        <f>SUM(F36,F42)</f>
        <v>2811100</v>
      </c>
      <c r="G45" s="235">
        <f>SUM(G36,G42)</f>
        <v>2811100</v>
      </c>
      <c r="H45" s="236"/>
      <c r="I45" s="235">
        <f>SUM(I36,I42)</f>
        <v>-18401.449999999979</v>
      </c>
      <c r="J45" s="235">
        <f>SUM(J36,J42)</f>
        <v>21600.799999999999</v>
      </c>
      <c r="K45" s="235">
        <f>SUM(K36,K42)</f>
        <v>69870.866624999995</v>
      </c>
      <c r="L45" s="235">
        <f>SUM(L36,L42)</f>
        <v>2738029.7833749996</v>
      </c>
      <c r="M45" s="237"/>
      <c r="N45" s="235">
        <f>SUM(N36,N42)</f>
        <v>133233.15</v>
      </c>
      <c r="O45" s="238">
        <f>(N45/L45)</f>
        <v>4.8660226710818225E-2</v>
      </c>
    </row>
    <row r="46" spans="1:15" ht="13.5" thickTop="1">
      <c r="A46" s="208"/>
      <c r="B46" s="214"/>
      <c r="C46" s="214"/>
      <c r="D46" s="207"/>
      <c r="E46" s="207"/>
      <c r="F46" s="239"/>
      <c r="G46" s="239"/>
      <c r="H46" s="239"/>
      <c r="I46" s="236"/>
      <c r="J46" s="218"/>
      <c r="K46" s="218"/>
      <c r="L46" s="236"/>
      <c r="M46" s="236"/>
      <c r="N46" s="236"/>
      <c r="O46" s="240"/>
    </row>
    <row r="47" spans="1:15">
      <c r="A47" s="214"/>
      <c r="B47" s="205"/>
      <c r="C47" s="205"/>
      <c r="D47" s="207"/>
      <c r="E47" s="207"/>
      <c r="F47" s="205"/>
      <c r="G47" s="205"/>
      <c r="H47" s="205"/>
      <c r="I47" s="205"/>
      <c r="J47" s="218"/>
      <c r="K47" s="205"/>
      <c r="L47" s="205"/>
      <c r="M47" s="205"/>
      <c r="N47" s="205"/>
      <c r="O47" s="205"/>
    </row>
    <row r="48" spans="1:15">
      <c r="B48" s="205" t="s">
        <v>780</v>
      </c>
      <c r="C48" s="205"/>
      <c r="D48" s="207"/>
      <c r="E48" s="207"/>
      <c r="F48" s="205"/>
      <c r="G48" s="205"/>
      <c r="H48" s="205"/>
      <c r="I48" s="205"/>
      <c r="J48" s="205"/>
      <c r="K48" s="205"/>
      <c r="L48" s="205"/>
      <c r="M48" s="205"/>
      <c r="N48" s="205"/>
      <c r="O48" s="205"/>
    </row>
    <row r="49" spans="1:14">
      <c r="A49" s="205"/>
      <c r="M49" s="193"/>
      <c r="N49" s="193"/>
    </row>
    <row r="50" spans="1:14">
      <c r="A50" s="242"/>
      <c r="B50" s="193"/>
      <c r="C50" s="193"/>
      <c r="D50" s="193"/>
      <c r="E50" s="193"/>
      <c r="F50" s="193"/>
      <c r="G50" s="193"/>
      <c r="H50" s="193"/>
      <c r="I50" s="193"/>
      <c r="J50" s="193"/>
      <c r="K50" s="193"/>
      <c r="L50" s="193"/>
      <c r="M50" s="193"/>
      <c r="N50" s="193"/>
    </row>
    <row r="51" spans="1:14">
      <c r="A51" s="193"/>
      <c r="B51" s="242"/>
      <c r="C51" s="243"/>
      <c r="D51" s="244"/>
      <c r="E51" s="244"/>
      <c r="F51" s="245"/>
      <c r="G51" s="246"/>
      <c r="H51" s="247"/>
      <c r="I51" s="248"/>
      <c r="J51" s="248"/>
      <c r="K51" s="248"/>
      <c r="L51" s="249"/>
      <c r="M51" s="193"/>
      <c r="N51" s="193"/>
    </row>
  </sheetData>
  <sheetProtection formatCells="0"/>
  <mergeCells count="7">
    <mergeCell ref="F12:G12"/>
    <mergeCell ref="A1:P1"/>
    <mergeCell ref="A2:P2"/>
    <mergeCell ref="A3:P3"/>
    <mergeCell ref="A5:P5"/>
    <mergeCell ref="A6:P6"/>
    <mergeCell ref="A7:P7"/>
  </mergeCells>
  <phoneticPr fontId="18" type="noConversion"/>
  <printOptions horizontalCentered="1"/>
  <pageMargins left="0.75" right="0.75" top="1" bottom="1" header="0.5" footer="0.5"/>
  <pageSetup scale="43" orientation="portrait" r:id="rId1"/>
  <headerFooter alignWithMargins="0"/>
  <ignoredErrors>
    <ignoredError sqref="B9:O9" numberStoredAsText="1"/>
    <ignoredError sqref="H36 I41:O42 F42:G42 H45 M45 M36 O3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G23"/>
  <sheetViews>
    <sheetView zoomScaleNormal="100" zoomScaleSheetLayoutView="100" workbookViewId="0">
      <selection sqref="A1:XFD1048576"/>
    </sheetView>
  </sheetViews>
  <sheetFormatPr defaultColWidth="9.85546875" defaultRowHeight="12.75"/>
  <cols>
    <col min="1" max="1" width="1.42578125" style="193" customWidth="1"/>
    <col min="2" max="2" width="28.42578125" style="193" bestFit="1" customWidth="1"/>
    <col min="3" max="6" width="12.7109375" style="193" customWidth="1"/>
    <col min="7" max="16384" width="9.85546875" style="193"/>
  </cols>
  <sheetData>
    <row r="1" spans="1:7">
      <c r="A1" s="563" t="s">
        <v>459</v>
      </c>
      <c r="B1" s="563"/>
      <c r="C1" s="563"/>
      <c r="D1" s="563"/>
      <c r="E1" s="563"/>
      <c r="F1" s="563"/>
      <c r="G1" s="563"/>
    </row>
    <row r="2" spans="1:7">
      <c r="A2" s="563" t="s">
        <v>1038</v>
      </c>
      <c r="B2" s="563"/>
      <c r="C2" s="563"/>
      <c r="D2" s="563"/>
      <c r="E2" s="563"/>
      <c r="F2" s="563"/>
      <c r="G2" s="563"/>
    </row>
    <row r="3" spans="1:7">
      <c r="A3" s="563" t="str">
        <f>'Title Page'!A10</f>
        <v>FOR THE TWELVE MONTHS ENDED DECEMBER 31, 2023</v>
      </c>
      <c r="B3" s="563"/>
      <c r="C3" s="563"/>
      <c r="D3" s="563"/>
      <c r="E3" s="563"/>
      <c r="F3" s="563"/>
      <c r="G3" s="563"/>
    </row>
    <row r="5" spans="1:7">
      <c r="A5" s="564" t="s">
        <v>310</v>
      </c>
      <c r="B5" s="564"/>
      <c r="C5" s="564"/>
      <c r="D5" s="564"/>
      <c r="E5" s="564"/>
      <c r="F5" s="564"/>
      <c r="G5" s="564"/>
    </row>
    <row r="6" spans="1:7">
      <c r="A6" s="564" t="s">
        <v>97</v>
      </c>
      <c r="B6" s="564"/>
      <c r="C6" s="564"/>
      <c r="D6" s="564"/>
      <c r="E6" s="564"/>
      <c r="F6" s="564"/>
      <c r="G6" s="564"/>
    </row>
    <row r="7" spans="1:7">
      <c r="B7" s="563"/>
      <c r="C7" s="563"/>
      <c r="D7" s="563"/>
      <c r="E7" s="563"/>
      <c r="F7" s="563"/>
    </row>
    <row r="8" spans="1:7">
      <c r="B8" s="540"/>
      <c r="C8" s="540"/>
      <c r="D8" s="540"/>
      <c r="E8" s="540"/>
      <c r="F8" s="540"/>
    </row>
    <row r="11" spans="1:7">
      <c r="C11" s="539" t="s">
        <v>92</v>
      </c>
      <c r="D11" s="539" t="s">
        <v>93</v>
      </c>
      <c r="E11" s="539" t="s">
        <v>94</v>
      </c>
      <c r="F11" s="539" t="s">
        <v>95</v>
      </c>
    </row>
    <row r="13" spans="1:7">
      <c r="B13" s="193" t="s">
        <v>96</v>
      </c>
      <c r="C13" s="197">
        <v>5.6000000000000001E-2</v>
      </c>
      <c r="D13" s="197">
        <v>3.0000000000000001E-3</v>
      </c>
      <c r="E13" s="197">
        <v>1E-3</v>
      </c>
      <c r="F13" s="201">
        <f>SUM(C13:E13)</f>
        <v>6.0000000000000005E-2</v>
      </c>
    </row>
    <row r="18" spans="2:2">
      <c r="B18" s="202" t="s">
        <v>282</v>
      </c>
    </row>
    <row r="19" spans="2:2">
      <c r="B19" s="193" t="s">
        <v>283</v>
      </c>
    </row>
    <row r="20" spans="2:2">
      <c r="B20" s="193" t="s">
        <v>920</v>
      </c>
    </row>
    <row r="22" spans="2:2">
      <c r="B22" s="193" t="s">
        <v>921</v>
      </c>
    </row>
    <row r="23" spans="2:2">
      <c r="B23" s="193" t="s">
        <v>922</v>
      </c>
    </row>
  </sheetData>
  <sheetProtection formatCells="0"/>
  <mergeCells count="6">
    <mergeCell ref="B7:F7"/>
    <mergeCell ref="A1:G1"/>
    <mergeCell ref="A2:G2"/>
    <mergeCell ref="A3:G3"/>
    <mergeCell ref="A5:G5"/>
    <mergeCell ref="A6:G6"/>
  </mergeCells>
  <phoneticPr fontId="18" type="noConversion"/>
  <printOptions horizontalCentered="1"/>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H21"/>
  <sheetViews>
    <sheetView zoomScaleNormal="100" zoomScaleSheetLayoutView="100" workbookViewId="0">
      <selection sqref="A1:XFD1048576"/>
    </sheetView>
  </sheetViews>
  <sheetFormatPr defaultColWidth="9.140625" defaultRowHeight="12.75"/>
  <cols>
    <col min="1" max="2" width="9.140625" style="193"/>
    <col min="3" max="3" width="13" style="193" bestFit="1" customWidth="1"/>
    <col min="4" max="4" width="9.140625" style="193"/>
    <col min="5" max="5" width="13" style="193" bestFit="1" customWidth="1"/>
    <col min="6" max="6" width="9.140625" style="193"/>
    <col min="7" max="7" width="11.42578125" style="193" bestFit="1" customWidth="1"/>
    <col min="8" max="16384" width="9.140625" style="193"/>
  </cols>
  <sheetData>
    <row r="1" spans="1:8">
      <c r="A1" s="563" t="s">
        <v>459</v>
      </c>
      <c r="B1" s="563"/>
      <c r="C1" s="563"/>
      <c r="D1" s="563"/>
      <c r="E1" s="563"/>
      <c r="F1" s="563"/>
      <c r="G1" s="563"/>
      <c r="H1" s="563"/>
    </row>
    <row r="2" spans="1:8">
      <c r="A2" s="563" t="s">
        <v>1038</v>
      </c>
      <c r="B2" s="563"/>
      <c r="C2" s="563"/>
      <c r="D2" s="563"/>
      <c r="E2" s="563"/>
      <c r="F2" s="563"/>
      <c r="G2" s="563"/>
      <c r="H2" s="563"/>
    </row>
    <row r="3" spans="1:8">
      <c r="A3" s="563" t="str">
        <f>'Title Page'!A10</f>
        <v>FOR THE TWELVE MONTHS ENDED DECEMBER 31, 2023</v>
      </c>
      <c r="B3" s="563"/>
      <c r="C3" s="563"/>
      <c r="D3" s="563"/>
      <c r="E3" s="563"/>
      <c r="F3" s="563"/>
      <c r="G3" s="563"/>
      <c r="H3" s="563"/>
    </row>
    <row r="5" spans="1:8">
      <c r="A5" s="564" t="s">
        <v>311</v>
      </c>
      <c r="B5" s="564"/>
      <c r="C5" s="564"/>
      <c r="D5" s="564"/>
      <c r="E5" s="564"/>
      <c r="F5" s="564"/>
      <c r="G5" s="564"/>
      <c r="H5" s="564"/>
    </row>
    <row r="6" spans="1:8">
      <c r="A6" s="564" t="s">
        <v>102</v>
      </c>
      <c r="B6" s="564"/>
      <c r="C6" s="564"/>
      <c r="D6" s="564"/>
      <c r="E6" s="564"/>
      <c r="F6" s="564"/>
      <c r="G6" s="564"/>
      <c r="H6" s="564"/>
    </row>
    <row r="7" spans="1:8">
      <c r="A7" s="564" t="s">
        <v>924</v>
      </c>
      <c r="B7" s="564"/>
      <c r="C7" s="564"/>
      <c r="D7" s="564"/>
      <c r="E7" s="564"/>
      <c r="F7" s="564"/>
      <c r="G7" s="564"/>
      <c r="H7" s="564"/>
    </row>
    <row r="8" spans="1:8">
      <c r="A8" s="564" t="s">
        <v>619</v>
      </c>
      <c r="B8" s="564"/>
      <c r="C8" s="564"/>
      <c r="D8" s="564"/>
      <c r="E8" s="564"/>
      <c r="F8" s="564"/>
      <c r="G8" s="564"/>
      <c r="H8" s="564"/>
    </row>
    <row r="9" spans="1:8">
      <c r="A9" s="540"/>
      <c r="B9" s="540"/>
      <c r="C9" s="540"/>
      <c r="D9" s="540"/>
      <c r="E9" s="540"/>
      <c r="F9" s="540"/>
      <c r="G9" s="540"/>
    </row>
    <row r="10" spans="1:8">
      <c r="A10" s="540"/>
      <c r="B10" s="540"/>
      <c r="C10" s="540"/>
      <c r="D10" s="540"/>
      <c r="E10" s="540"/>
      <c r="F10" s="540"/>
      <c r="G10" s="540"/>
    </row>
    <row r="11" spans="1:8">
      <c r="A11" s="540"/>
      <c r="B11" s="540"/>
      <c r="C11" s="540"/>
      <c r="D11" s="540"/>
      <c r="E11" s="540"/>
      <c r="F11" s="540"/>
      <c r="G11" s="540"/>
    </row>
    <row r="12" spans="1:8" ht="13.5" thickBot="1">
      <c r="A12" s="194"/>
      <c r="B12" s="194"/>
      <c r="C12" s="195" t="s">
        <v>103</v>
      </c>
      <c r="D12" s="195" t="s">
        <v>344</v>
      </c>
      <c r="E12" s="34" t="s">
        <v>104</v>
      </c>
    </row>
    <row r="13" spans="1:8">
      <c r="A13" s="194"/>
      <c r="B13" s="194"/>
      <c r="C13" s="194">
        <v>107000</v>
      </c>
      <c r="D13" s="194">
        <v>451</v>
      </c>
      <c r="E13" s="196">
        <v>7812735.4000000004</v>
      </c>
    </row>
    <row r="14" spans="1:8" ht="13.5" thickBot="1">
      <c r="A14" s="35"/>
      <c r="B14" s="35"/>
      <c r="C14" s="36" t="s">
        <v>791</v>
      </c>
      <c r="D14" s="36"/>
      <c r="E14" s="37">
        <f>SUM(E13:E13)</f>
        <v>7812735.4000000004</v>
      </c>
    </row>
    <row r="15" spans="1:8" ht="13.5" thickTop="1">
      <c r="A15" s="35"/>
      <c r="B15" s="35"/>
      <c r="C15" s="36"/>
      <c r="D15" s="36"/>
      <c r="E15" s="38"/>
    </row>
    <row r="17" spans="3:7">
      <c r="C17" s="193" t="s">
        <v>200</v>
      </c>
      <c r="E17" s="39"/>
    </row>
    <row r="18" spans="3:7">
      <c r="C18" s="193" t="s">
        <v>201</v>
      </c>
      <c r="E18" s="39"/>
    </row>
    <row r="19" spans="3:7">
      <c r="C19" s="197">
        <v>1.9E-2</v>
      </c>
      <c r="E19" s="39"/>
    </row>
    <row r="21" spans="3:7">
      <c r="C21" s="198">
        <f>E14</f>
        <v>7812735.4000000004</v>
      </c>
      <c r="D21" s="540" t="s">
        <v>105</v>
      </c>
      <c r="E21" s="197">
        <f>C19</f>
        <v>1.9E-2</v>
      </c>
      <c r="F21" s="199" t="s">
        <v>106</v>
      </c>
      <c r="G21" s="200">
        <f>ROUND(C21*E21,0)</f>
        <v>148442</v>
      </c>
    </row>
  </sheetData>
  <sheetProtection formatCells="0"/>
  <mergeCells count="7">
    <mergeCell ref="A7:H7"/>
    <mergeCell ref="A8:H8"/>
    <mergeCell ref="A1:H1"/>
    <mergeCell ref="A2:H2"/>
    <mergeCell ref="A3:H3"/>
    <mergeCell ref="A5:H5"/>
    <mergeCell ref="A6:H6"/>
  </mergeCells>
  <phoneticPr fontId="18" type="noConversion"/>
  <conditionalFormatting sqref="E13">
    <cfRule type="cellIs" dxfId="0" priority="2" operator="lessThan">
      <formula>0</formula>
    </cfRule>
  </conditionalFormatting>
  <printOptions horizontalCentered="1"/>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AA109"/>
  <sheetViews>
    <sheetView zoomScale="140" zoomScaleNormal="140" zoomScaleSheetLayoutView="70" zoomScalePageLayoutView="50" workbookViewId="0">
      <selection sqref="A1:XFD1048576"/>
    </sheetView>
  </sheetViews>
  <sheetFormatPr defaultColWidth="30.140625" defaultRowHeight="12.75"/>
  <cols>
    <col min="1" max="1" width="11.5703125" style="177" customWidth="1"/>
    <col min="2" max="2" width="30.140625" style="177" customWidth="1"/>
    <col min="3" max="3" width="9.28515625" style="555" bestFit="1" customWidth="1"/>
    <col min="4" max="4" width="5.85546875" style="555" bestFit="1" customWidth="1"/>
    <col min="5" max="5" width="14.28515625" style="177" customWidth="1"/>
    <col min="6" max="6" width="12.7109375" style="555" hidden="1" customWidth="1"/>
    <col min="7" max="7" width="8.42578125" style="177" hidden="1" customWidth="1"/>
    <col min="8" max="8" width="13" style="177" customWidth="1"/>
    <col min="9" max="9" width="12.7109375" style="555" hidden="1" customWidth="1"/>
    <col min="10" max="10" width="8.42578125" style="177" hidden="1" customWidth="1"/>
    <col min="11" max="11" width="14.42578125" style="177" customWidth="1"/>
    <col min="12" max="12" width="13.7109375" style="555" hidden="1" customWidth="1"/>
    <col min="13" max="13" width="8.42578125" style="555" hidden="1" customWidth="1"/>
    <col min="14" max="14" width="14.42578125" style="177" customWidth="1"/>
    <col min="15" max="15" width="13.7109375" style="555" customWidth="1"/>
    <col min="16" max="16" width="11.140625" style="555" bestFit="1" customWidth="1"/>
    <col min="17" max="17" width="14.42578125" style="177" bestFit="1" customWidth="1"/>
    <col min="18" max="18" width="13.7109375" style="555" customWidth="1"/>
    <col min="19" max="19" width="11.140625" style="555" bestFit="1" customWidth="1"/>
    <col min="20" max="20" width="14.42578125" style="177" bestFit="1" customWidth="1"/>
    <col min="21" max="21" width="18.42578125" style="177" bestFit="1" customWidth="1"/>
    <col min="22" max="22" width="14.28515625" style="177" bestFit="1" customWidth="1"/>
    <col min="23" max="23" width="11.28515625" style="75" bestFit="1" customWidth="1"/>
    <col min="24" max="34" width="9.140625" style="177" customWidth="1"/>
    <col min="35" max="35" width="11.5703125" style="177" customWidth="1"/>
    <col min="36" max="16384" width="30.140625" style="177"/>
  </cols>
  <sheetData>
    <row r="1" spans="1:27">
      <c r="A1" s="602" t="s">
        <v>459</v>
      </c>
      <c r="B1" s="602"/>
      <c r="C1" s="602"/>
      <c r="D1" s="602"/>
      <c r="E1" s="602"/>
      <c r="F1" s="602"/>
      <c r="G1" s="602"/>
      <c r="H1" s="602"/>
      <c r="I1" s="602"/>
      <c r="J1" s="602"/>
      <c r="K1" s="602"/>
      <c r="L1" s="602"/>
      <c r="M1" s="602"/>
      <c r="N1" s="602"/>
      <c r="O1" s="602"/>
      <c r="P1" s="602"/>
      <c r="Q1" s="602"/>
      <c r="R1" s="602"/>
      <c r="S1" s="602"/>
      <c r="T1" s="602"/>
      <c r="U1" s="602"/>
      <c r="V1" s="602"/>
      <c r="W1" s="602"/>
      <c r="X1" s="602"/>
    </row>
    <row r="2" spans="1:27">
      <c r="A2" s="602" t="s">
        <v>1038</v>
      </c>
      <c r="B2" s="602"/>
      <c r="C2" s="602"/>
      <c r="D2" s="602"/>
      <c r="E2" s="602"/>
      <c r="F2" s="602"/>
      <c r="G2" s="602"/>
      <c r="H2" s="602"/>
      <c r="I2" s="602"/>
      <c r="J2" s="602"/>
      <c r="K2" s="602"/>
      <c r="L2" s="602"/>
      <c r="M2" s="602"/>
      <c r="N2" s="602"/>
      <c r="O2" s="602"/>
      <c r="P2" s="602"/>
      <c r="Q2" s="602"/>
      <c r="R2" s="602"/>
      <c r="S2" s="602"/>
      <c r="T2" s="602"/>
      <c r="U2" s="602"/>
      <c r="V2" s="602"/>
      <c r="W2" s="602"/>
      <c r="X2" s="602"/>
    </row>
    <row r="3" spans="1:27">
      <c r="A3" s="602" t="str">
        <f>'Title Page'!A10</f>
        <v>FOR THE TWELVE MONTHS ENDED DECEMBER 31, 2023</v>
      </c>
      <c r="B3" s="602"/>
      <c r="C3" s="602"/>
      <c r="D3" s="602"/>
      <c r="E3" s="602"/>
      <c r="F3" s="602"/>
      <c r="G3" s="602"/>
      <c r="H3" s="602"/>
      <c r="I3" s="602"/>
      <c r="J3" s="602"/>
      <c r="K3" s="602"/>
      <c r="L3" s="602"/>
      <c r="M3" s="602"/>
      <c r="N3" s="602"/>
      <c r="O3" s="602"/>
      <c r="P3" s="602"/>
      <c r="Q3" s="602"/>
      <c r="R3" s="602"/>
      <c r="S3" s="602"/>
      <c r="T3" s="602"/>
      <c r="U3" s="602"/>
      <c r="V3" s="602"/>
      <c r="W3" s="602"/>
      <c r="X3" s="602"/>
    </row>
    <row r="4" spans="1:27">
      <c r="A4" s="555"/>
      <c r="B4" s="555"/>
      <c r="E4" s="555"/>
      <c r="G4" s="555"/>
      <c r="H4" s="555"/>
      <c r="J4" s="555"/>
      <c r="K4" s="555"/>
      <c r="N4" s="555"/>
      <c r="Q4" s="555"/>
      <c r="T4" s="555"/>
      <c r="U4" s="555"/>
      <c r="V4" s="555"/>
      <c r="W4" s="555"/>
      <c r="X4" s="555"/>
    </row>
    <row r="5" spans="1:27">
      <c r="A5" s="612" t="s">
        <v>6</v>
      </c>
      <c r="B5" s="612"/>
      <c r="C5" s="612"/>
      <c r="D5" s="612"/>
      <c r="E5" s="612"/>
      <c r="F5" s="612"/>
      <c r="G5" s="612"/>
      <c r="H5" s="612"/>
      <c r="I5" s="612"/>
      <c r="J5" s="612"/>
      <c r="K5" s="612"/>
      <c r="L5" s="612"/>
      <c r="M5" s="612"/>
      <c r="N5" s="612"/>
      <c r="O5" s="612"/>
      <c r="P5" s="612"/>
      <c r="Q5" s="612"/>
      <c r="R5" s="612"/>
      <c r="S5" s="612"/>
      <c r="T5" s="612"/>
      <c r="U5" s="612"/>
      <c r="V5" s="612"/>
      <c r="W5" s="612"/>
      <c r="X5" s="612"/>
    </row>
    <row r="6" spans="1:27">
      <c r="A6" s="564" t="s">
        <v>618</v>
      </c>
      <c r="B6" s="564"/>
      <c r="C6" s="564"/>
      <c r="D6" s="564"/>
      <c r="E6" s="564"/>
      <c r="F6" s="564"/>
      <c r="G6" s="564"/>
      <c r="H6" s="564"/>
      <c r="I6" s="564"/>
      <c r="J6" s="564"/>
      <c r="K6" s="564"/>
      <c r="L6" s="564"/>
      <c r="M6" s="564"/>
      <c r="N6" s="564"/>
      <c r="O6" s="564"/>
      <c r="P6" s="564"/>
      <c r="Q6" s="564"/>
      <c r="R6" s="564"/>
      <c r="S6" s="564"/>
      <c r="T6" s="564"/>
      <c r="U6" s="564"/>
      <c r="V6" s="564"/>
      <c r="W6" s="564"/>
      <c r="X6" s="564"/>
    </row>
    <row r="7" spans="1:27">
      <c r="A7" s="577" t="s">
        <v>624</v>
      </c>
      <c r="B7" s="577"/>
      <c r="C7" s="577"/>
      <c r="D7" s="577"/>
      <c r="E7" s="577"/>
      <c r="F7" s="577"/>
      <c r="G7" s="577"/>
      <c r="H7" s="577"/>
      <c r="I7" s="577"/>
      <c r="J7" s="577"/>
      <c r="K7" s="577"/>
      <c r="L7" s="577"/>
      <c r="M7" s="577"/>
      <c r="N7" s="577"/>
      <c r="O7" s="577"/>
      <c r="P7" s="577"/>
      <c r="Q7" s="577"/>
      <c r="R7" s="577"/>
      <c r="S7" s="577"/>
      <c r="T7" s="577"/>
      <c r="U7" s="577"/>
      <c r="V7" s="577"/>
      <c r="W7" s="577"/>
      <c r="X7" s="577"/>
    </row>
    <row r="8" spans="1:27">
      <c r="A8" s="577" t="s">
        <v>620</v>
      </c>
      <c r="B8" s="577"/>
      <c r="C8" s="577"/>
      <c r="D8" s="577"/>
      <c r="E8" s="577"/>
      <c r="F8" s="577"/>
      <c r="G8" s="577"/>
      <c r="H8" s="577"/>
      <c r="I8" s="577"/>
      <c r="J8" s="577"/>
      <c r="K8" s="577"/>
      <c r="L8" s="577"/>
      <c r="M8" s="577"/>
      <c r="N8" s="577"/>
      <c r="O8" s="577"/>
      <c r="P8" s="577"/>
      <c r="Q8" s="577"/>
      <c r="R8" s="577"/>
      <c r="S8" s="577"/>
      <c r="T8" s="577"/>
      <c r="U8" s="577"/>
      <c r="V8" s="577"/>
      <c r="W8" s="577"/>
      <c r="X8" s="577"/>
    </row>
    <row r="9" spans="1:27">
      <c r="A9" s="546"/>
      <c r="B9" s="546"/>
      <c r="C9" s="546"/>
      <c r="D9" s="546"/>
      <c r="E9" s="546"/>
      <c r="F9" s="546"/>
      <c r="G9" s="546"/>
      <c r="H9" s="556"/>
      <c r="I9" s="556"/>
      <c r="J9" s="556"/>
      <c r="K9" s="556"/>
      <c r="L9" s="556"/>
      <c r="M9" s="120"/>
      <c r="N9" s="556"/>
      <c r="O9" s="556"/>
      <c r="P9" s="120"/>
      <c r="Q9" s="556"/>
      <c r="R9" s="556"/>
      <c r="S9" s="120"/>
      <c r="T9" s="556"/>
      <c r="U9" s="556"/>
      <c r="V9" s="556"/>
    </row>
    <row r="10" spans="1:27" ht="39" customHeight="1">
      <c r="F10" s="603" t="s">
        <v>841</v>
      </c>
      <c r="G10" s="604"/>
      <c r="H10" s="605"/>
      <c r="I10" s="606" t="s">
        <v>842</v>
      </c>
      <c r="J10" s="607"/>
      <c r="K10" s="608"/>
      <c r="L10" s="603" t="s">
        <v>928</v>
      </c>
      <c r="M10" s="604"/>
      <c r="N10" s="605"/>
      <c r="O10" s="609" t="s">
        <v>1176</v>
      </c>
      <c r="P10" s="610"/>
      <c r="Q10" s="611"/>
      <c r="R10" s="609" t="s">
        <v>1177</v>
      </c>
      <c r="S10" s="610"/>
      <c r="T10" s="611"/>
      <c r="U10" s="556"/>
    </row>
    <row r="11" spans="1:27" ht="26.25" thickBot="1">
      <c r="A11" s="179" t="s">
        <v>33</v>
      </c>
      <c r="B11" s="179" t="s">
        <v>608</v>
      </c>
      <c r="C11" s="179" t="s">
        <v>711</v>
      </c>
      <c r="D11" s="179" t="s">
        <v>712</v>
      </c>
      <c r="E11" s="179" t="s">
        <v>713</v>
      </c>
      <c r="F11" s="179" t="s">
        <v>714</v>
      </c>
      <c r="G11" s="179" t="s">
        <v>126</v>
      </c>
      <c r="H11" s="76" t="s">
        <v>127</v>
      </c>
      <c r="I11" s="179" t="s">
        <v>714</v>
      </c>
      <c r="J11" s="179" t="s">
        <v>126</v>
      </c>
      <c r="K11" s="76" t="s">
        <v>127</v>
      </c>
      <c r="L11" s="179" t="s">
        <v>714</v>
      </c>
      <c r="M11" s="179" t="s">
        <v>126</v>
      </c>
      <c r="N11" s="76" t="s">
        <v>127</v>
      </c>
      <c r="O11" s="179" t="s">
        <v>714</v>
      </c>
      <c r="P11" s="179" t="s">
        <v>126</v>
      </c>
      <c r="Q11" s="76" t="s">
        <v>127</v>
      </c>
      <c r="R11" s="179" t="s">
        <v>714</v>
      </c>
      <c r="S11" s="179" t="s">
        <v>126</v>
      </c>
      <c r="T11" s="76" t="s">
        <v>127</v>
      </c>
      <c r="U11" s="76" t="s">
        <v>715</v>
      </c>
      <c r="V11" s="76" t="s">
        <v>716</v>
      </c>
      <c r="W11" s="76" t="s">
        <v>717</v>
      </c>
    </row>
    <row r="12" spans="1:27">
      <c r="A12" s="35" t="s">
        <v>729</v>
      </c>
      <c r="B12" s="35" t="s">
        <v>128</v>
      </c>
      <c r="C12" s="48">
        <v>353</v>
      </c>
      <c r="D12" s="61">
        <v>1978</v>
      </c>
      <c r="E12" s="150">
        <f>648863.15-968.78</f>
        <v>647894.37</v>
      </c>
      <c r="F12" s="77">
        <v>2.12E-2</v>
      </c>
      <c r="G12" s="185">
        <f>IF((2008-$D12)+0.58&lt;0, 0,(2008-$D12)+0.58)</f>
        <v>30.58</v>
      </c>
      <c r="H12" s="75">
        <f>ROUND(E12*G12*F12,2)</f>
        <v>420027.33</v>
      </c>
      <c r="I12" s="77">
        <v>2.06E-2</v>
      </c>
      <c r="J12" s="79">
        <f>IF(G12=0,IF($J$98=D12,$J$98-D12+0.42,($J$98+0.42-D12)-G12),$J$98+0.42-D12)-G12</f>
        <v>3.8400000000000745</v>
      </c>
      <c r="K12" s="75">
        <f>ROUND(E12*J12*I12,2)</f>
        <v>51251.040000000001</v>
      </c>
      <c r="L12" s="77">
        <v>1.9E-2</v>
      </c>
      <c r="M12" s="79">
        <f t="shared" ref="M12:M19" si="0">IF(($J$103+1-D12-J12-G12)&gt;5, 5, ($J$103+1-D12-J12-G12))</f>
        <v>5</v>
      </c>
      <c r="N12" s="75">
        <f>ROUND(E12*L12*M12,2)</f>
        <v>61549.97</v>
      </c>
      <c r="O12" s="77">
        <v>1.9699999999999999E-2</v>
      </c>
      <c r="P12" s="79">
        <f t="shared" ref="P12:P19" si="1">IF(J12=0,(2021+1.58-D12)-J12-G12-M12,(2021+1-D12)-J12-G12-M12)</f>
        <v>4.5799999999999272</v>
      </c>
      <c r="Q12" s="75">
        <f t="shared" ref="Q12:Q45" si="2">ROUND(E12*O12*P12,2)</f>
        <v>58456.92</v>
      </c>
      <c r="R12" s="77">
        <v>2.18E-2</v>
      </c>
      <c r="S12" s="79">
        <f>$A$95-$A$94+1</f>
        <v>2</v>
      </c>
      <c r="T12" s="75">
        <f>ROUND(E12*R12*S12,2)</f>
        <v>28248.19</v>
      </c>
      <c r="U12" s="75">
        <f>SUM(H12,K12,N12,Q12,T12)</f>
        <v>619533.44999999995</v>
      </c>
      <c r="V12" s="186">
        <f t="shared" ref="V12:V45" si="3">E12-U12</f>
        <v>28360.920000000042</v>
      </c>
      <c r="W12" s="75">
        <f>ROUND(E12*R12,2)</f>
        <v>14124.1</v>
      </c>
      <c r="Y12" s="181">
        <f t="shared" ref="Y12:Y45" si="4">2015+1-D12</f>
        <v>38</v>
      </c>
      <c r="Z12" s="187">
        <f t="shared" ref="Z12:Z45" si="5">G12+J12+P12</f>
        <v>39</v>
      </c>
      <c r="AA12" s="187" t="str">
        <f>IF(Y12-Z12=0, "ok","error")</f>
        <v>error</v>
      </c>
    </row>
    <row r="13" spans="1:27">
      <c r="A13" s="35" t="s">
        <v>729</v>
      </c>
      <c r="B13" s="35" t="s">
        <v>128</v>
      </c>
      <c r="C13" s="48">
        <v>353</v>
      </c>
      <c r="D13" s="61">
        <v>2013</v>
      </c>
      <c r="E13" s="150">
        <v>10928.33</v>
      </c>
      <c r="F13" s="77">
        <v>2.12E-2</v>
      </c>
      <c r="G13" s="540">
        <f>IF((2008-$D13)+0.58&lt;0, 0,(2008-$D13)+0.58)</f>
        <v>0</v>
      </c>
      <c r="H13" s="75">
        <f>ROUND(E13*G13*F13,2)</f>
        <v>0</v>
      </c>
      <c r="I13" s="77">
        <v>2.06E-2</v>
      </c>
      <c r="J13" s="79">
        <v>0</v>
      </c>
      <c r="K13" s="75">
        <f>ROUND(E13*J13*I13,2)</f>
        <v>0</v>
      </c>
      <c r="L13" s="77">
        <v>1.9E-2</v>
      </c>
      <c r="M13" s="79">
        <f t="shared" si="0"/>
        <v>5</v>
      </c>
      <c r="N13" s="75">
        <f t="shared" ref="N13:N74" si="6">ROUND(E13*L13*M13,2)</f>
        <v>1038.19</v>
      </c>
      <c r="O13" s="77">
        <v>1.9699999999999999E-2</v>
      </c>
      <c r="P13" s="79">
        <f t="shared" si="1"/>
        <v>4.5799999999999272</v>
      </c>
      <c r="Q13" s="75">
        <f t="shared" si="2"/>
        <v>986.02</v>
      </c>
      <c r="R13" s="77">
        <v>2.18E-2</v>
      </c>
      <c r="S13" s="79">
        <f t="shared" ref="S13:S78" si="7">$A$95-$A$94+1</f>
        <v>2</v>
      </c>
      <c r="T13" s="75">
        <f t="shared" ref="T13:T78" si="8">ROUND(E13*R13*S13,2)</f>
        <v>476.48</v>
      </c>
      <c r="U13" s="75">
        <f t="shared" ref="U13:U78" si="9">SUM(H13,K13,N13,Q13,T13)</f>
        <v>2500.69</v>
      </c>
      <c r="V13" s="186">
        <f t="shared" si="3"/>
        <v>8427.64</v>
      </c>
      <c r="W13" s="75">
        <f t="shared" ref="W13:W78" si="10">ROUND(E13*R13,2)</f>
        <v>238.24</v>
      </c>
      <c r="Y13" s="181">
        <f t="shared" si="4"/>
        <v>3</v>
      </c>
      <c r="Z13" s="187">
        <f t="shared" si="5"/>
        <v>4.5799999999999272</v>
      </c>
      <c r="AA13" s="187" t="str">
        <f>IF(Y13-Z13=0, "ok","error")</f>
        <v>error</v>
      </c>
    </row>
    <row r="14" spans="1:27">
      <c r="A14" s="35" t="s">
        <v>718</v>
      </c>
      <c r="B14" s="35" t="s">
        <v>1082</v>
      </c>
      <c r="C14" s="48">
        <v>353</v>
      </c>
      <c r="D14" s="61">
        <v>1959</v>
      </c>
      <c r="E14" s="150">
        <f>748173.1-275.63</f>
        <v>747897.47</v>
      </c>
      <c r="F14" s="77">
        <v>2.12E-2</v>
      </c>
      <c r="G14" s="540">
        <f t="shared" ref="G14:G78" si="11">IF((2008-D14)+0.58&lt;0, 0,(2008-D14)+0.58)</f>
        <v>49.58</v>
      </c>
      <c r="H14" s="75">
        <f>ROUND(E14*G14*F14,2)</f>
        <v>786112.04</v>
      </c>
      <c r="I14" s="77">
        <v>2.06E-2</v>
      </c>
      <c r="J14" s="79">
        <f>IF(G14=0,IF($J$98=D14,$J$98-D14+0.42,($J$98+0.42-D14)-G14),$J$98+0.42-D14)-G14</f>
        <v>3.8400000000000745</v>
      </c>
      <c r="K14" s="75">
        <f t="shared" ref="K14:K71" si="12">ROUND(E14*J14*I14,2)</f>
        <v>59161.68</v>
      </c>
      <c r="L14" s="77">
        <v>1.9E-2</v>
      </c>
      <c r="M14" s="79">
        <f t="shared" si="0"/>
        <v>5</v>
      </c>
      <c r="N14" s="75">
        <f t="shared" si="6"/>
        <v>71050.259999999995</v>
      </c>
      <c r="O14" s="77">
        <v>1.9699999999999999E-2</v>
      </c>
      <c r="P14" s="79">
        <f t="shared" si="1"/>
        <v>4.5799999999999272</v>
      </c>
      <c r="Q14" s="75">
        <f t="shared" si="2"/>
        <v>67479.8</v>
      </c>
      <c r="R14" s="77">
        <v>2.18E-2</v>
      </c>
      <c r="S14" s="79">
        <f t="shared" si="7"/>
        <v>2</v>
      </c>
      <c r="T14" s="75">
        <f t="shared" si="8"/>
        <v>32608.33</v>
      </c>
      <c r="U14" s="75">
        <f t="shared" si="9"/>
        <v>1016412.1100000001</v>
      </c>
      <c r="V14" s="186">
        <f t="shared" si="3"/>
        <v>-268514.64000000013</v>
      </c>
      <c r="W14" s="75">
        <f t="shared" si="10"/>
        <v>16304.16</v>
      </c>
      <c r="Y14" s="181">
        <f t="shared" si="4"/>
        <v>57</v>
      </c>
      <c r="Z14" s="187">
        <f t="shared" si="5"/>
        <v>58</v>
      </c>
      <c r="AA14" s="187" t="str">
        <f t="shared" ref="AA14:AA70" si="13">IF(Y14-Z14=0, "ok","error")</f>
        <v>error</v>
      </c>
    </row>
    <row r="15" spans="1:27">
      <c r="A15" s="35" t="s">
        <v>718</v>
      </c>
      <c r="B15" s="35" t="s">
        <v>1082</v>
      </c>
      <c r="C15" s="48">
        <v>353</v>
      </c>
      <c r="D15" s="61">
        <v>1980</v>
      </c>
      <c r="E15" s="150">
        <v>1541721.69</v>
      </c>
      <c r="F15" s="77">
        <v>2.12E-2</v>
      </c>
      <c r="G15" s="540">
        <f t="shared" si="11"/>
        <v>28.58</v>
      </c>
      <c r="H15" s="75">
        <f>ROUND(E15*G15*F15,2)</f>
        <v>934123.01</v>
      </c>
      <c r="I15" s="77">
        <v>2.06E-2</v>
      </c>
      <c r="J15" s="79">
        <f>IF(G15=0,IF($J$98=D15,$J$98-D15+0.42,($J$98+0.42-D15)-G15),$J$98+0.42-D15)-G15</f>
        <v>3.8400000000000745</v>
      </c>
      <c r="K15" s="75">
        <f t="shared" si="12"/>
        <v>121956.35</v>
      </c>
      <c r="L15" s="77">
        <v>1.9E-2</v>
      </c>
      <c r="M15" s="79">
        <f t="shared" si="0"/>
        <v>5</v>
      </c>
      <c r="N15" s="75">
        <f t="shared" si="6"/>
        <v>146463.56</v>
      </c>
      <c r="O15" s="77">
        <v>1.9699999999999999E-2</v>
      </c>
      <c r="P15" s="79">
        <f t="shared" si="1"/>
        <v>4.5799999999999272</v>
      </c>
      <c r="Q15" s="75">
        <f t="shared" si="2"/>
        <v>139103.38</v>
      </c>
      <c r="R15" s="77">
        <v>2.18E-2</v>
      </c>
      <c r="S15" s="79">
        <f t="shared" si="7"/>
        <v>2</v>
      </c>
      <c r="T15" s="75">
        <f t="shared" si="8"/>
        <v>67219.070000000007</v>
      </c>
      <c r="U15" s="75">
        <f t="shared" si="9"/>
        <v>1408865.3700000003</v>
      </c>
      <c r="V15" s="186">
        <f t="shared" si="3"/>
        <v>132856.3199999996</v>
      </c>
      <c r="W15" s="75">
        <f t="shared" si="10"/>
        <v>33609.53</v>
      </c>
      <c r="Y15" s="181">
        <f t="shared" si="4"/>
        <v>36</v>
      </c>
      <c r="Z15" s="187">
        <f t="shared" si="5"/>
        <v>37</v>
      </c>
      <c r="AA15" s="187" t="str">
        <f t="shared" si="13"/>
        <v>error</v>
      </c>
    </row>
    <row r="16" spans="1:27">
      <c r="A16" s="35" t="s">
        <v>718</v>
      </c>
      <c r="B16" s="35" t="s">
        <v>1082</v>
      </c>
      <c r="C16" s="48">
        <v>353</v>
      </c>
      <c r="D16" s="61">
        <v>2000</v>
      </c>
      <c r="E16" s="150">
        <v>11284.55</v>
      </c>
      <c r="F16" s="77">
        <v>2.12E-2</v>
      </c>
      <c r="G16" s="540">
        <f t="shared" si="11"/>
        <v>8.58</v>
      </c>
      <c r="H16" s="75">
        <f t="shared" ref="H16:H29" si="14">ROUND(E16*G16*F16,2)</f>
        <v>2052.61</v>
      </c>
      <c r="I16" s="77">
        <v>2.06E-2</v>
      </c>
      <c r="J16" s="79">
        <f>IF(G16=0,IF($J$98=D16,$J$98-D16+0.42,($J$98+0.42-D16)-G16),$J$98+0.42-D16)-G16</f>
        <v>3.8400000000000727</v>
      </c>
      <c r="K16" s="75">
        <f t="shared" si="12"/>
        <v>892.65</v>
      </c>
      <c r="L16" s="77">
        <v>1.9E-2</v>
      </c>
      <c r="M16" s="79">
        <f t="shared" si="0"/>
        <v>5</v>
      </c>
      <c r="N16" s="75">
        <f t="shared" si="6"/>
        <v>1072.03</v>
      </c>
      <c r="O16" s="77">
        <v>1.9699999999999999E-2</v>
      </c>
      <c r="P16" s="79">
        <f t="shared" si="1"/>
        <v>4.5799999999999255</v>
      </c>
      <c r="Q16" s="75">
        <f t="shared" si="2"/>
        <v>1018.16</v>
      </c>
      <c r="R16" s="77">
        <v>2.18E-2</v>
      </c>
      <c r="S16" s="79">
        <f t="shared" si="7"/>
        <v>2</v>
      </c>
      <c r="T16" s="75">
        <f t="shared" si="8"/>
        <v>492.01</v>
      </c>
      <c r="U16" s="75">
        <f t="shared" si="9"/>
        <v>5527.46</v>
      </c>
      <c r="V16" s="186">
        <f t="shared" si="3"/>
        <v>5757.0899999999992</v>
      </c>
      <c r="W16" s="75">
        <f t="shared" si="10"/>
        <v>246</v>
      </c>
      <c r="Y16" s="181">
        <f t="shared" si="4"/>
        <v>16</v>
      </c>
      <c r="Z16" s="187">
        <f t="shared" si="5"/>
        <v>17</v>
      </c>
      <c r="AA16" s="187" t="str">
        <f t="shared" si="13"/>
        <v>error</v>
      </c>
    </row>
    <row r="17" spans="1:27">
      <c r="A17" s="35" t="s">
        <v>718</v>
      </c>
      <c r="B17" s="35" t="s">
        <v>1082</v>
      </c>
      <c r="C17" s="48">
        <v>353</v>
      </c>
      <c r="D17" s="61">
        <v>2003</v>
      </c>
      <c r="E17" s="150">
        <v>15167.15</v>
      </c>
      <c r="F17" s="77">
        <v>2.12E-2</v>
      </c>
      <c r="G17" s="540">
        <f t="shared" si="11"/>
        <v>5.58</v>
      </c>
      <c r="H17" s="75">
        <f t="shared" si="14"/>
        <v>1794.21</v>
      </c>
      <c r="I17" s="77">
        <v>2.06E-2</v>
      </c>
      <c r="J17" s="79">
        <f>IF(G17=0,IF($J$98=D17,$J$98-D17+0.42,($J$98+0.42-D17)-G17),$J$98+0.42-D17)-G17</f>
        <v>3.8400000000000727</v>
      </c>
      <c r="K17" s="75">
        <f t="shared" si="12"/>
        <v>1199.78</v>
      </c>
      <c r="L17" s="77">
        <v>1.9E-2</v>
      </c>
      <c r="M17" s="79">
        <f t="shared" si="0"/>
        <v>5</v>
      </c>
      <c r="N17" s="75">
        <f t="shared" si="6"/>
        <v>1440.88</v>
      </c>
      <c r="O17" s="77">
        <v>1.9699999999999999E-2</v>
      </c>
      <c r="P17" s="79">
        <f t="shared" si="1"/>
        <v>4.5799999999999272</v>
      </c>
      <c r="Q17" s="75">
        <f t="shared" si="2"/>
        <v>1368.47</v>
      </c>
      <c r="R17" s="77">
        <v>2.18E-2</v>
      </c>
      <c r="S17" s="79">
        <f t="shared" si="7"/>
        <v>2</v>
      </c>
      <c r="T17" s="75">
        <f t="shared" si="8"/>
        <v>661.29</v>
      </c>
      <c r="U17" s="75">
        <f t="shared" si="9"/>
        <v>6464.63</v>
      </c>
      <c r="V17" s="186">
        <f t="shared" si="3"/>
        <v>8702.52</v>
      </c>
      <c r="W17" s="75">
        <f t="shared" si="10"/>
        <v>330.64</v>
      </c>
      <c r="Y17" s="181">
        <f t="shared" si="4"/>
        <v>13</v>
      </c>
      <c r="Z17" s="187">
        <f t="shared" si="5"/>
        <v>14</v>
      </c>
      <c r="AA17" s="187" t="str">
        <f t="shared" si="13"/>
        <v>error</v>
      </c>
    </row>
    <row r="18" spans="1:27">
      <c r="A18" s="35" t="s">
        <v>718</v>
      </c>
      <c r="B18" s="35" t="s">
        <v>1082</v>
      </c>
      <c r="C18" s="48">
        <v>353</v>
      </c>
      <c r="D18" s="61">
        <v>2012</v>
      </c>
      <c r="E18" s="150">
        <v>1855783.59</v>
      </c>
      <c r="F18" s="77">
        <v>2.12E-2</v>
      </c>
      <c r="G18" s="540">
        <f t="shared" si="11"/>
        <v>0</v>
      </c>
      <c r="H18" s="75">
        <f t="shared" si="14"/>
        <v>0</v>
      </c>
      <c r="I18" s="77">
        <v>2.06E-2</v>
      </c>
      <c r="J18" s="79">
        <f>IF(G18=0,IF($J$98=D18,$J$98-D18+0.42,($J$98+0.42-D18)-G18),$J$98+0.42-D18)-G18</f>
        <v>0.42</v>
      </c>
      <c r="K18" s="75">
        <f t="shared" si="12"/>
        <v>16056.24</v>
      </c>
      <c r="L18" s="77">
        <v>1.9E-2</v>
      </c>
      <c r="M18" s="79">
        <f t="shared" si="0"/>
        <v>5</v>
      </c>
      <c r="N18" s="75">
        <f t="shared" si="6"/>
        <v>176299.44</v>
      </c>
      <c r="O18" s="77">
        <v>1.9699999999999999E-2</v>
      </c>
      <c r="P18" s="79">
        <f t="shared" si="1"/>
        <v>4.58</v>
      </c>
      <c r="Q18" s="75">
        <f t="shared" si="2"/>
        <v>167439.93</v>
      </c>
      <c r="R18" s="77">
        <v>2.18E-2</v>
      </c>
      <c r="S18" s="79">
        <f t="shared" si="7"/>
        <v>2</v>
      </c>
      <c r="T18" s="75">
        <f t="shared" si="8"/>
        <v>80912.160000000003</v>
      </c>
      <c r="U18" s="75">
        <f t="shared" si="9"/>
        <v>440707.77</v>
      </c>
      <c r="V18" s="186">
        <f t="shared" si="3"/>
        <v>1415075.82</v>
      </c>
      <c r="W18" s="75">
        <f t="shared" si="10"/>
        <v>40456.080000000002</v>
      </c>
      <c r="Y18" s="181">
        <f t="shared" si="4"/>
        <v>4</v>
      </c>
      <c r="Z18" s="187">
        <f t="shared" si="5"/>
        <v>5</v>
      </c>
      <c r="AA18" s="187" t="str">
        <f t="shared" si="13"/>
        <v>error</v>
      </c>
    </row>
    <row r="19" spans="1:27">
      <c r="A19" s="35" t="s">
        <v>718</v>
      </c>
      <c r="B19" s="35" t="s">
        <v>1082</v>
      </c>
      <c r="C19" s="48">
        <v>353</v>
      </c>
      <c r="D19" s="61">
        <v>2014</v>
      </c>
      <c r="E19" s="150">
        <v>205853.64</v>
      </c>
      <c r="F19" s="77">
        <v>2.12E-2</v>
      </c>
      <c r="G19" s="540">
        <f>IF((2008-D19)+0.58&lt;0, 0,(2008-D19)+0.58)</f>
        <v>0</v>
      </c>
      <c r="H19" s="75">
        <f>ROUND(E19*G19*F19,2)</f>
        <v>0</v>
      </c>
      <c r="I19" s="77">
        <v>2.06E-2</v>
      </c>
      <c r="J19" s="79">
        <v>0</v>
      </c>
      <c r="K19" s="75">
        <f>ROUND(E19*J19*I19,2)</f>
        <v>0</v>
      </c>
      <c r="L19" s="77">
        <v>1.9E-2</v>
      </c>
      <c r="M19" s="79">
        <f t="shared" si="0"/>
        <v>4</v>
      </c>
      <c r="N19" s="75">
        <f>ROUND(E19*L19*M19,2)</f>
        <v>15644.88</v>
      </c>
      <c r="O19" s="77">
        <v>1.9699999999999999E-2</v>
      </c>
      <c r="P19" s="79">
        <f t="shared" si="1"/>
        <v>4.5799999999999272</v>
      </c>
      <c r="Q19" s="75">
        <f t="shared" si="2"/>
        <v>18573.349999999999</v>
      </c>
      <c r="R19" s="77">
        <v>2.18E-2</v>
      </c>
      <c r="S19" s="79">
        <f t="shared" si="7"/>
        <v>2</v>
      </c>
      <c r="T19" s="75">
        <f t="shared" si="8"/>
        <v>8975.2199999999993</v>
      </c>
      <c r="U19" s="75">
        <f t="shared" si="9"/>
        <v>43193.45</v>
      </c>
      <c r="V19" s="186">
        <f t="shared" si="3"/>
        <v>162660.19</v>
      </c>
      <c r="W19" s="75">
        <f t="shared" si="10"/>
        <v>4487.6099999999997</v>
      </c>
      <c r="Y19" s="181">
        <f t="shared" si="4"/>
        <v>2</v>
      </c>
      <c r="Z19" s="187">
        <f t="shared" si="5"/>
        <v>4.5799999999999272</v>
      </c>
      <c r="AA19" s="187" t="str">
        <f>IF(Y19-Z19=0, "ok","error")</f>
        <v>error</v>
      </c>
    </row>
    <row r="20" spans="1:27">
      <c r="A20" s="35" t="s">
        <v>718</v>
      </c>
      <c r="B20" s="35" t="s">
        <v>1082</v>
      </c>
      <c r="C20" s="48">
        <v>353</v>
      </c>
      <c r="D20" s="61">
        <v>2021</v>
      </c>
      <c r="E20" s="150">
        <f>3502967.98-4732.38-19587.87</f>
        <v>3478647.73</v>
      </c>
      <c r="F20" s="77">
        <v>2.12E-2</v>
      </c>
      <c r="G20" s="540">
        <f>IF((2008-D20)+0.58&lt;0, 0,(2008-D20)+0.58)</f>
        <v>0</v>
      </c>
      <c r="H20" s="75">
        <f>ROUND(E20*G20*F20,2)</f>
        <v>0</v>
      </c>
      <c r="I20" s="77">
        <v>2.06E-2</v>
      </c>
      <c r="J20" s="79">
        <v>0</v>
      </c>
      <c r="K20" s="75">
        <f>ROUND(E20*J20*I20,2)</f>
        <v>0</v>
      </c>
      <c r="L20" s="77">
        <v>1.9E-2</v>
      </c>
      <c r="M20" s="79">
        <v>0</v>
      </c>
      <c r="N20" s="75">
        <f t="shared" si="6"/>
        <v>0</v>
      </c>
      <c r="O20" s="77">
        <v>1.9699999999999999E-2</v>
      </c>
      <c r="P20" s="79">
        <f>IF(J20=0,(2021+1-D20)-J20-G20-M20,(2021+1-D20)-J20-G20-M20)</f>
        <v>1</v>
      </c>
      <c r="Q20" s="75">
        <f t="shared" si="2"/>
        <v>68529.36</v>
      </c>
      <c r="R20" s="77">
        <v>2.18E-2</v>
      </c>
      <c r="S20" s="79">
        <f t="shared" si="7"/>
        <v>2</v>
      </c>
      <c r="T20" s="75">
        <f t="shared" si="8"/>
        <v>151669.04</v>
      </c>
      <c r="U20" s="75">
        <f t="shared" si="9"/>
        <v>220198.40000000002</v>
      </c>
      <c r="V20" s="186">
        <f t="shared" si="3"/>
        <v>3258449.33</v>
      </c>
      <c r="W20" s="75">
        <f t="shared" si="10"/>
        <v>75834.52</v>
      </c>
      <c r="Y20" s="181">
        <f t="shared" si="4"/>
        <v>-5</v>
      </c>
      <c r="Z20" s="187">
        <f t="shared" si="5"/>
        <v>1</v>
      </c>
      <c r="AA20" s="187" t="str">
        <f>IF(Y20-Z20=0, "ok","error")</f>
        <v>error</v>
      </c>
    </row>
    <row r="21" spans="1:27">
      <c r="A21" s="35" t="s">
        <v>718</v>
      </c>
      <c r="B21" s="35" t="s">
        <v>1082</v>
      </c>
      <c r="C21" s="48">
        <v>353</v>
      </c>
      <c r="D21" s="61">
        <v>2022</v>
      </c>
      <c r="E21" s="150">
        <v>2508744.92</v>
      </c>
      <c r="F21" s="77">
        <v>2.12E-2</v>
      </c>
      <c r="G21" s="540">
        <f>IF((2008-D21)+0.58&lt;0, 0,(2008-D21)+0.58)</f>
        <v>0</v>
      </c>
      <c r="H21" s="75">
        <f>ROUND(E21*G21*F21,2)</f>
        <v>0</v>
      </c>
      <c r="I21" s="77">
        <v>2.06E-2</v>
      </c>
      <c r="J21" s="79">
        <v>0</v>
      </c>
      <c r="K21" s="75">
        <f>ROUND(E21*J21*I21,2)</f>
        <v>0</v>
      </c>
      <c r="L21" s="77">
        <v>1.9E-2</v>
      </c>
      <c r="M21" s="79">
        <v>0</v>
      </c>
      <c r="N21" s="75">
        <f t="shared" si="6"/>
        <v>0</v>
      </c>
      <c r="O21" s="77">
        <v>1.9699999999999999E-2</v>
      </c>
      <c r="P21" s="79">
        <f>IF(J21=0,(2021+1-D21)-J21-G21-M21,(2021+1-D21)-J21-G21-M21)</f>
        <v>0</v>
      </c>
      <c r="Q21" s="75">
        <f t="shared" si="2"/>
        <v>0</v>
      </c>
      <c r="R21" s="77">
        <v>2.18E-2</v>
      </c>
      <c r="S21" s="79">
        <f t="shared" si="7"/>
        <v>2</v>
      </c>
      <c r="T21" s="75">
        <f t="shared" si="8"/>
        <v>109381.28</v>
      </c>
      <c r="U21" s="75">
        <f t="shared" si="9"/>
        <v>109381.28</v>
      </c>
      <c r="V21" s="186">
        <f t="shared" si="3"/>
        <v>2399363.64</v>
      </c>
      <c r="W21" s="75">
        <f t="shared" si="10"/>
        <v>54690.64</v>
      </c>
      <c r="Y21" s="181">
        <f t="shared" si="4"/>
        <v>-6</v>
      </c>
      <c r="Z21" s="187">
        <f t="shared" si="5"/>
        <v>0</v>
      </c>
      <c r="AA21" s="187" t="str">
        <f>IF(Y21-Z21=0, "ok","error")</f>
        <v>error</v>
      </c>
    </row>
    <row r="22" spans="1:27">
      <c r="A22" s="35" t="s">
        <v>718</v>
      </c>
      <c r="B22" s="35" t="s">
        <v>1082</v>
      </c>
      <c r="C22" s="48">
        <v>353</v>
      </c>
      <c r="D22" s="61">
        <v>2023</v>
      </c>
      <c r="E22" s="150">
        <v>3031784.51</v>
      </c>
      <c r="F22" s="77">
        <v>2.12E-2</v>
      </c>
      <c r="G22" s="540">
        <f>IF((2008-D22)+0.58&lt;0, 0,(2008-D22)+0.58)</f>
        <v>0</v>
      </c>
      <c r="H22" s="75">
        <f>ROUND(E22*G22*F22,2)</f>
        <v>0</v>
      </c>
      <c r="I22" s="77">
        <v>2.06E-2</v>
      </c>
      <c r="J22" s="79">
        <v>0</v>
      </c>
      <c r="K22" s="75">
        <f>ROUND(E22*J22*I22,2)</f>
        <v>0</v>
      </c>
      <c r="L22" s="77">
        <v>1.9E-2</v>
      </c>
      <c r="M22" s="79">
        <v>0</v>
      </c>
      <c r="N22" s="75">
        <f t="shared" ref="N22" si="15">ROUND(E22*L22*M22,2)</f>
        <v>0</v>
      </c>
      <c r="O22" s="77">
        <v>1.9699999999999999E-2</v>
      </c>
      <c r="P22" s="79">
        <v>0</v>
      </c>
      <c r="Q22" s="75">
        <f t="shared" ref="Q22" si="16">ROUND(E22*O22*P22,2)</f>
        <v>0</v>
      </c>
      <c r="R22" s="77">
        <v>2.18E-2</v>
      </c>
      <c r="S22" s="79">
        <v>1</v>
      </c>
      <c r="T22" s="75">
        <f t="shared" ref="T22" si="17">ROUND(E22*R22*S22,2)</f>
        <v>66092.899999999994</v>
      </c>
      <c r="U22" s="75">
        <f t="shared" ref="U22" si="18">SUM(H22,K22,N22,Q22,T22)</f>
        <v>66092.899999999994</v>
      </c>
      <c r="V22" s="186">
        <f t="shared" ref="V22" si="19">E22-U22</f>
        <v>2965691.61</v>
      </c>
      <c r="W22" s="75">
        <f t="shared" ref="W22" si="20">ROUND(E22*R22,2)</f>
        <v>66092.899999999994</v>
      </c>
      <c r="Y22" s="181">
        <f t="shared" ref="Y22" si="21">2015+1-D22</f>
        <v>-7</v>
      </c>
      <c r="Z22" s="187">
        <f t="shared" ref="Z22" si="22">G22+J22+P22</f>
        <v>0</v>
      </c>
      <c r="AA22" s="187" t="str">
        <f>IF(Y22-Z22=0, "ok","error")</f>
        <v>error</v>
      </c>
    </row>
    <row r="23" spans="1:27">
      <c r="A23" s="35" t="s">
        <v>731</v>
      </c>
      <c r="B23" s="35" t="s">
        <v>129</v>
      </c>
      <c r="C23" s="48">
        <v>353</v>
      </c>
      <c r="D23" s="61">
        <v>1950</v>
      </c>
      <c r="E23" s="150">
        <v>316403.89</v>
      </c>
      <c r="F23" s="77">
        <v>2.12E-2</v>
      </c>
      <c r="G23" s="540">
        <f t="shared" si="11"/>
        <v>58.58</v>
      </c>
      <c r="H23" s="75">
        <f t="shared" si="14"/>
        <v>392940.73</v>
      </c>
      <c r="I23" s="77">
        <v>2.06E-2</v>
      </c>
      <c r="J23" s="79">
        <f t="shared" ref="J23:J28" si="23">IF(G23=0,IF($J$98=D23,$J$98-D23+0.42,($J$98+0.42-D23)-G23),$J$98+0.42-D23)-G23</f>
        <v>3.8400000000000745</v>
      </c>
      <c r="K23" s="75">
        <f t="shared" si="12"/>
        <v>25028.81</v>
      </c>
      <c r="L23" s="77">
        <v>1.9E-2</v>
      </c>
      <c r="M23" s="79">
        <f t="shared" ref="M23:M31" si="24">IF(($J$103+1-D23-J23-G23)&gt;5, 5, ($J$103+1-D23-J23-G23))</f>
        <v>5</v>
      </c>
      <c r="N23" s="75">
        <f t="shared" si="6"/>
        <v>30058.37</v>
      </c>
      <c r="O23" s="77">
        <v>1.9699999999999999E-2</v>
      </c>
      <c r="P23" s="79">
        <f t="shared" ref="P23:P31" si="25">IF(J23=0,(2021+1.58-D23)-J23-G23-M23,(2021+1-D23)-J23-G23-M23)</f>
        <v>4.5799999999999272</v>
      </c>
      <c r="Q23" s="75">
        <f t="shared" si="2"/>
        <v>28547.86</v>
      </c>
      <c r="R23" s="77">
        <v>2.18E-2</v>
      </c>
      <c r="S23" s="79">
        <f t="shared" si="7"/>
        <v>2</v>
      </c>
      <c r="T23" s="75">
        <f t="shared" si="8"/>
        <v>13795.21</v>
      </c>
      <c r="U23" s="75">
        <f t="shared" si="9"/>
        <v>490370.98</v>
      </c>
      <c r="V23" s="186">
        <f t="shared" si="3"/>
        <v>-173967.08999999997</v>
      </c>
      <c r="W23" s="75">
        <f t="shared" si="10"/>
        <v>6897.6</v>
      </c>
      <c r="Y23" s="181">
        <f t="shared" si="4"/>
        <v>66</v>
      </c>
      <c r="Z23" s="187">
        <f t="shared" si="5"/>
        <v>67</v>
      </c>
      <c r="AA23" s="187" t="str">
        <f t="shared" si="13"/>
        <v>error</v>
      </c>
    </row>
    <row r="24" spans="1:27">
      <c r="A24" s="35" t="s">
        <v>731</v>
      </c>
      <c r="B24" s="35" t="s">
        <v>129</v>
      </c>
      <c r="C24" s="48">
        <v>353</v>
      </c>
      <c r="D24" s="61">
        <v>1964</v>
      </c>
      <c r="E24" s="150">
        <v>1416.21</v>
      </c>
      <c r="F24" s="77">
        <v>2.12E-2</v>
      </c>
      <c r="G24" s="540">
        <f t="shared" si="11"/>
        <v>44.58</v>
      </c>
      <c r="H24" s="75">
        <f t="shared" si="14"/>
        <v>1338.45</v>
      </c>
      <c r="I24" s="77">
        <v>2.06E-2</v>
      </c>
      <c r="J24" s="79">
        <f t="shared" si="23"/>
        <v>3.8400000000000745</v>
      </c>
      <c r="K24" s="75">
        <f t="shared" si="12"/>
        <v>112.03</v>
      </c>
      <c r="L24" s="77">
        <v>1.9E-2</v>
      </c>
      <c r="M24" s="79">
        <f t="shared" si="24"/>
        <v>5</v>
      </c>
      <c r="N24" s="75">
        <f t="shared" si="6"/>
        <v>134.54</v>
      </c>
      <c r="O24" s="77">
        <v>1.9699999999999999E-2</v>
      </c>
      <c r="P24" s="79">
        <f t="shared" si="25"/>
        <v>4.5799999999999272</v>
      </c>
      <c r="Q24" s="75">
        <f t="shared" si="2"/>
        <v>127.78</v>
      </c>
      <c r="R24" s="77">
        <v>2.18E-2</v>
      </c>
      <c r="S24" s="79">
        <f t="shared" si="7"/>
        <v>2</v>
      </c>
      <c r="T24" s="75">
        <f t="shared" si="8"/>
        <v>61.75</v>
      </c>
      <c r="U24" s="75">
        <f t="shared" si="9"/>
        <v>1774.55</v>
      </c>
      <c r="V24" s="186">
        <f t="shared" si="3"/>
        <v>-358.33999999999992</v>
      </c>
      <c r="W24" s="75">
        <f t="shared" si="10"/>
        <v>30.87</v>
      </c>
      <c r="Y24" s="181">
        <f t="shared" si="4"/>
        <v>52</v>
      </c>
      <c r="Z24" s="187">
        <f t="shared" si="5"/>
        <v>53</v>
      </c>
      <c r="AA24" s="187" t="str">
        <f t="shared" si="13"/>
        <v>error</v>
      </c>
    </row>
    <row r="25" spans="1:27">
      <c r="A25" s="35" t="s">
        <v>727</v>
      </c>
      <c r="B25" s="35" t="s">
        <v>130</v>
      </c>
      <c r="C25" s="48">
        <v>353</v>
      </c>
      <c r="D25" s="61">
        <v>1983</v>
      </c>
      <c r="E25" s="150">
        <v>257772.45</v>
      </c>
      <c r="F25" s="77">
        <v>2.12E-2</v>
      </c>
      <c r="G25" s="540">
        <f t="shared" si="11"/>
        <v>25.58</v>
      </c>
      <c r="H25" s="75">
        <f t="shared" si="14"/>
        <v>139788.97</v>
      </c>
      <c r="I25" s="77">
        <v>2.06E-2</v>
      </c>
      <c r="J25" s="79">
        <f t="shared" si="23"/>
        <v>3.8400000000000745</v>
      </c>
      <c r="K25" s="75">
        <f t="shared" si="12"/>
        <v>20390.830000000002</v>
      </c>
      <c r="L25" s="77">
        <v>1.9E-2</v>
      </c>
      <c r="M25" s="79">
        <f t="shared" si="24"/>
        <v>5</v>
      </c>
      <c r="N25" s="75">
        <f t="shared" si="6"/>
        <v>24488.38</v>
      </c>
      <c r="O25" s="77">
        <v>1.9699999999999999E-2</v>
      </c>
      <c r="P25" s="79">
        <f t="shared" si="25"/>
        <v>4.5799999999999272</v>
      </c>
      <c r="Q25" s="75">
        <f t="shared" si="2"/>
        <v>23257.78</v>
      </c>
      <c r="R25" s="77">
        <v>2.18E-2</v>
      </c>
      <c r="S25" s="79">
        <f t="shared" si="7"/>
        <v>2</v>
      </c>
      <c r="T25" s="75">
        <f t="shared" si="8"/>
        <v>11238.88</v>
      </c>
      <c r="U25" s="75">
        <f t="shared" si="9"/>
        <v>219164.84</v>
      </c>
      <c r="V25" s="186">
        <f t="shared" si="3"/>
        <v>38607.610000000015</v>
      </c>
      <c r="W25" s="75">
        <f t="shared" si="10"/>
        <v>5619.44</v>
      </c>
      <c r="Y25" s="181">
        <f t="shared" si="4"/>
        <v>33</v>
      </c>
      <c r="Z25" s="187">
        <f t="shared" si="5"/>
        <v>34</v>
      </c>
      <c r="AA25" s="187" t="str">
        <f t="shared" si="13"/>
        <v>error</v>
      </c>
    </row>
    <row r="26" spans="1:27">
      <c r="A26" s="35" t="s">
        <v>730</v>
      </c>
      <c r="B26" s="35" t="s">
        <v>131</v>
      </c>
      <c r="C26" s="48">
        <v>353</v>
      </c>
      <c r="D26" s="61">
        <v>1965</v>
      </c>
      <c r="E26" s="150">
        <v>19807.669999999998</v>
      </c>
      <c r="F26" s="77">
        <v>2.12E-2</v>
      </c>
      <c r="G26" s="540">
        <f t="shared" si="11"/>
        <v>43.58</v>
      </c>
      <c r="H26" s="75">
        <f t="shared" si="14"/>
        <v>18300.23</v>
      </c>
      <c r="I26" s="77">
        <v>2.06E-2</v>
      </c>
      <c r="J26" s="79">
        <f t="shared" si="23"/>
        <v>3.8400000000000745</v>
      </c>
      <c r="K26" s="75">
        <f t="shared" si="12"/>
        <v>1566.87</v>
      </c>
      <c r="L26" s="77">
        <v>1.9E-2</v>
      </c>
      <c r="M26" s="79">
        <f t="shared" si="24"/>
        <v>5</v>
      </c>
      <c r="N26" s="75">
        <f t="shared" si="6"/>
        <v>1881.73</v>
      </c>
      <c r="O26" s="77">
        <v>1.9699999999999999E-2</v>
      </c>
      <c r="P26" s="79">
        <f t="shared" si="25"/>
        <v>4.5799999999999272</v>
      </c>
      <c r="Q26" s="75">
        <f t="shared" si="2"/>
        <v>1787.17</v>
      </c>
      <c r="R26" s="77">
        <v>2.18E-2</v>
      </c>
      <c r="S26" s="79">
        <f t="shared" si="7"/>
        <v>2</v>
      </c>
      <c r="T26" s="75">
        <f t="shared" si="8"/>
        <v>863.61</v>
      </c>
      <c r="U26" s="75">
        <f t="shared" si="9"/>
        <v>24399.61</v>
      </c>
      <c r="V26" s="186">
        <f t="shared" si="3"/>
        <v>-4591.9400000000023</v>
      </c>
      <c r="W26" s="75">
        <f t="shared" si="10"/>
        <v>431.81</v>
      </c>
      <c r="Y26" s="181">
        <f t="shared" si="4"/>
        <v>51</v>
      </c>
      <c r="Z26" s="187">
        <f t="shared" si="5"/>
        <v>52</v>
      </c>
      <c r="AA26" s="187" t="str">
        <f t="shared" si="13"/>
        <v>error</v>
      </c>
    </row>
    <row r="27" spans="1:27">
      <c r="A27" s="35" t="s">
        <v>719</v>
      </c>
      <c r="B27" s="35" t="s">
        <v>132</v>
      </c>
      <c r="C27" s="48">
        <v>353</v>
      </c>
      <c r="D27" s="61">
        <v>2001</v>
      </c>
      <c r="E27" s="150">
        <v>259219.44</v>
      </c>
      <c r="F27" s="77">
        <v>2.12E-2</v>
      </c>
      <c r="G27" s="540">
        <f t="shared" si="11"/>
        <v>7.58</v>
      </c>
      <c r="H27" s="75">
        <f t="shared" si="14"/>
        <v>41655.53</v>
      </c>
      <c r="I27" s="77">
        <v>2.06E-2</v>
      </c>
      <c r="J27" s="79">
        <f t="shared" si="23"/>
        <v>3.8400000000000727</v>
      </c>
      <c r="K27" s="75">
        <f t="shared" si="12"/>
        <v>20505.29</v>
      </c>
      <c r="L27" s="77">
        <v>1.9E-2</v>
      </c>
      <c r="M27" s="79">
        <f t="shared" si="24"/>
        <v>5</v>
      </c>
      <c r="N27" s="75">
        <f t="shared" si="6"/>
        <v>24625.85</v>
      </c>
      <c r="O27" s="77">
        <v>1.9699999999999999E-2</v>
      </c>
      <c r="P27" s="79">
        <f t="shared" si="25"/>
        <v>4.5799999999999255</v>
      </c>
      <c r="Q27" s="75">
        <f t="shared" si="2"/>
        <v>23388.33</v>
      </c>
      <c r="R27" s="77">
        <v>2.18E-2</v>
      </c>
      <c r="S27" s="79">
        <f t="shared" si="7"/>
        <v>2</v>
      </c>
      <c r="T27" s="75">
        <f t="shared" si="8"/>
        <v>11301.97</v>
      </c>
      <c r="U27" s="75">
        <f t="shared" si="9"/>
        <v>121476.97</v>
      </c>
      <c r="V27" s="186">
        <f t="shared" si="3"/>
        <v>137742.47</v>
      </c>
      <c r="W27" s="75">
        <f t="shared" si="10"/>
        <v>5650.98</v>
      </c>
      <c r="Y27" s="181">
        <f t="shared" si="4"/>
        <v>15</v>
      </c>
      <c r="Z27" s="187">
        <f t="shared" si="5"/>
        <v>15.999999999999998</v>
      </c>
      <c r="AA27" s="187" t="str">
        <f t="shared" si="13"/>
        <v>error</v>
      </c>
    </row>
    <row r="28" spans="1:27">
      <c r="A28" s="35" t="s">
        <v>719</v>
      </c>
      <c r="B28" s="35" t="s">
        <v>132</v>
      </c>
      <c r="C28" s="48">
        <v>353</v>
      </c>
      <c r="D28" s="61">
        <v>2008</v>
      </c>
      <c r="E28" s="150">
        <v>7041.17</v>
      </c>
      <c r="F28" s="77">
        <v>2.12E-2</v>
      </c>
      <c r="G28" s="540">
        <f t="shared" si="11"/>
        <v>0.57999999999999996</v>
      </c>
      <c r="H28" s="75">
        <f t="shared" si="14"/>
        <v>86.58</v>
      </c>
      <c r="I28" s="77">
        <v>2.06E-2</v>
      </c>
      <c r="J28" s="79">
        <f t="shared" si="23"/>
        <v>3.8400000000000727</v>
      </c>
      <c r="K28" s="75">
        <f t="shared" si="12"/>
        <v>556.98</v>
      </c>
      <c r="L28" s="77">
        <v>1.9E-2</v>
      </c>
      <c r="M28" s="79">
        <f t="shared" si="24"/>
        <v>5</v>
      </c>
      <c r="N28" s="75">
        <f t="shared" si="6"/>
        <v>668.91</v>
      </c>
      <c r="O28" s="77">
        <v>1.9699999999999999E-2</v>
      </c>
      <c r="P28" s="79">
        <f t="shared" si="25"/>
        <v>4.5799999999999272</v>
      </c>
      <c r="Q28" s="75">
        <f t="shared" si="2"/>
        <v>635.29999999999995</v>
      </c>
      <c r="R28" s="77">
        <v>2.18E-2</v>
      </c>
      <c r="S28" s="79">
        <f t="shared" si="7"/>
        <v>2</v>
      </c>
      <c r="T28" s="75">
        <f t="shared" si="8"/>
        <v>307</v>
      </c>
      <c r="U28" s="75">
        <f t="shared" si="9"/>
        <v>2254.77</v>
      </c>
      <c r="V28" s="186">
        <f t="shared" si="3"/>
        <v>4786.3999999999996</v>
      </c>
      <c r="W28" s="75">
        <f t="shared" si="10"/>
        <v>153.5</v>
      </c>
      <c r="Y28" s="181">
        <f t="shared" si="4"/>
        <v>8</v>
      </c>
      <c r="Z28" s="187">
        <f t="shared" si="5"/>
        <v>9</v>
      </c>
      <c r="AA28" s="187" t="str">
        <f t="shared" si="13"/>
        <v>error</v>
      </c>
    </row>
    <row r="29" spans="1:27">
      <c r="A29" s="35" t="s">
        <v>719</v>
      </c>
      <c r="B29" s="35" t="s">
        <v>132</v>
      </c>
      <c r="C29" s="48">
        <v>353</v>
      </c>
      <c r="D29" s="98">
        <v>2009</v>
      </c>
      <c r="E29" s="150">
        <v>3800179.28</v>
      </c>
      <c r="F29" s="77">
        <v>2.12E-2</v>
      </c>
      <c r="G29" s="540">
        <f t="shared" si="11"/>
        <v>0</v>
      </c>
      <c r="H29" s="75">
        <f t="shared" si="14"/>
        <v>0</v>
      </c>
      <c r="I29" s="77">
        <v>2.06E-2</v>
      </c>
      <c r="J29" s="79">
        <f>J28</f>
        <v>3.8400000000000727</v>
      </c>
      <c r="K29" s="75">
        <f t="shared" si="12"/>
        <v>300609.38</v>
      </c>
      <c r="L29" s="77">
        <v>1.9E-2</v>
      </c>
      <c r="M29" s="79">
        <f t="shared" si="24"/>
        <v>5</v>
      </c>
      <c r="N29" s="75">
        <f t="shared" si="6"/>
        <v>361017.03</v>
      </c>
      <c r="O29" s="77">
        <v>1.9699999999999999E-2</v>
      </c>
      <c r="P29" s="79">
        <f t="shared" si="25"/>
        <v>4.1599999999999273</v>
      </c>
      <c r="Q29" s="75">
        <f t="shared" si="2"/>
        <v>311432.28999999998</v>
      </c>
      <c r="R29" s="77">
        <v>2.18E-2</v>
      </c>
      <c r="S29" s="79">
        <f t="shared" si="7"/>
        <v>2</v>
      </c>
      <c r="T29" s="75">
        <f t="shared" si="8"/>
        <v>165687.82</v>
      </c>
      <c r="U29" s="75">
        <f t="shared" si="9"/>
        <v>1138746.52</v>
      </c>
      <c r="V29" s="186">
        <f t="shared" si="3"/>
        <v>2661432.7599999998</v>
      </c>
      <c r="W29" s="75">
        <f t="shared" si="10"/>
        <v>82843.91</v>
      </c>
      <c r="Y29" s="181">
        <f t="shared" si="4"/>
        <v>7</v>
      </c>
      <c r="Z29" s="187">
        <f t="shared" si="5"/>
        <v>8</v>
      </c>
      <c r="AA29" s="187" t="str">
        <f t="shared" si="13"/>
        <v>error</v>
      </c>
    </row>
    <row r="30" spans="1:27">
      <c r="A30" s="35" t="s">
        <v>720</v>
      </c>
      <c r="B30" s="35" t="s">
        <v>1083</v>
      </c>
      <c r="C30" s="48">
        <v>353</v>
      </c>
      <c r="D30" s="61">
        <v>2015</v>
      </c>
      <c r="E30" s="150">
        <f>1780138.04+1852610.71</f>
        <v>3632748.75</v>
      </c>
      <c r="F30" s="77">
        <v>2.12E-2</v>
      </c>
      <c r="G30" s="540">
        <f t="shared" si="11"/>
        <v>0</v>
      </c>
      <c r="H30" s="75">
        <f>ROUND(E30*G30*F30,2)</f>
        <v>0</v>
      </c>
      <c r="I30" s="77">
        <v>2.06E-2</v>
      </c>
      <c r="J30" s="79">
        <v>0</v>
      </c>
      <c r="K30" s="75">
        <f t="shared" si="12"/>
        <v>0</v>
      </c>
      <c r="L30" s="77">
        <v>1.9E-2</v>
      </c>
      <c r="M30" s="79">
        <f t="shared" si="24"/>
        <v>3</v>
      </c>
      <c r="N30" s="75">
        <f t="shared" si="6"/>
        <v>207066.68</v>
      </c>
      <c r="O30" s="77">
        <v>1.9699999999999999E-2</v>
      </c>
      <c r="P30" s="79">
        <f t="shared" si="25"/>
        <v>4.5799999999999272</v>
      </c>
      <c r="Q30" s="75">
        <f t="shared" si="2"/>
        <v>327768.39</v>
      </c>
      <c r="R30" s="77">
        <v>2.18E-2</v>
      </c>
      <c r="S30" s="79">
        <f t="shared" si="7"/>
        <v>2</v>
      </c>
      <c r="T30" s="75">
        <f t="shared" si="8"/>
        <v>158387.85</v>
      </c>
      <c r="U30" s="75">
        <f t="shared" si="9"/>
        <v>693222.92</v>
      </c>
      <c r="V30" s="186">
        <f t="shared" si="3"/>
        <v>2939525.83</v>
      </c>
      <c r="W30" s="75">
        <f t="shared" si="10"/>
        <v>79193.919999999998</v>
      </c>
      <c r="Y30" s="181">
        <f t="shared" si="4"/>
        <v>1</v>
      </c>
      <c r="Z30" s="187">
        <f t="shared" si="5"/>
        <v>4.5799999999999272</v>
      </c>
      <c r="AA30" s="187" t="str">
        <f t="shared" si="13"/>
        <v>error</v>
      </c>
    </row>
    <row r="31" spans="1:27">
      <c r="A31" s="35" t="s">
        <v>720</v>
      </c>
      <c r="B31" s="35" t="s">
        <v>1083</v>
      </c>
      <c r="C31" s="48">
        <v>353</v>
      </c>
      <c r="D31" s="61">
        <v>2016</v>
      </c>
      <c r="E31" s="150">
        <v>1846817.64</v>
      </c>
      <c r="F31" s="77">
        <v>2.12E-2</v>
      </c>
      <c r="G31" s="540">
        <f>IF((2008-D31)+0.58&lt;0, 0,(2008-D31)+0.58)</f>
        <v>0</v>
      </c>
      <c r="H31" s="75">
        <f>ROUND(E31*G31*F31,2)</f>
        <v>0</v>
      </c>
      <c r="I31" s="77">
        <v>2.06E-2</v>
      </c>
      <c r="J31" s="79">
        <v>0</v>
      </c>
      <c r="K31" s="75">
        <f>ROUND(E31*J31*I31,2)</f>
        <v>0</v>
      </c>
      <c r="L31" s="77">
        <v>1.9E-2</v>
      </c>
      <c r="M31" s="79">
        <f t="shared" si="24"/>
        <v>2</v>
      </c>
      <c r="N31" s="75">
        <f t="shared" si="6"/>
        <v>70179.070000000007</v>
      </c>
      <c r="O31" s="77">
        <v>1.9699999999999999E-2</v>
      </c>
      <c r="P31" s="79">
        <f t="shared" si="25"/>
        <v>4.5799999999999272</v>
      </c>
      <c r="Q31" s="75">
        <f t="shared" si="2"/>
        <v>166630.97</v>
      </c>
      <c r="R31" s="77">
        <v>2.18E-2</v>
      </c>
      <c r="S31" s="79">
        <f t="shared" si="7"/>
        <v>2</v>
      </c>
      <c r="T31" s="75">
        <f t="shared" si="8"/>
        <v>80521.25</v>
      </c>
      <c r="U31" s="75">
        <f t="shared" si="9"/>
        <v>317331.29000000004</v>
      </c>
      <c r="V31" s="186">
        <f t="shared" si="3"/>
        <v>1529486.3499999999</v>
      </c>
      <c r="W31" s="75">
        <f t="shared" si="10"/>
        <v>40260.620000000003</v>
      </c>
      <c r="Y31" s="181">
        <f t="shared" si="4"/>
        <v>0</v>
      </c>
      <c r="Z31" s="187">
        <f t="shared" si="5"/>
        <v>4.5799999999999272</v>
      </c>
      <c r="AA31" s="187" t="str">
        <f>IF(Y31-Z31=0, "ok","error")</f>
        <v>error</v>
      </c>
    </row>
    <row r="32" spans="1:27">
      <c r="A32" s="35" t="s">
        <v>720</v>
      </c>
      <c r="B32" s="35" t="s">
        <v>1083</v>
      </c>
      <c r="C32" s="48">
        <v>353</v>
      </c>
      <c r="D32" s="61">
        <v>2019</v>
      </c>
      <c r="E32" s="150">
        <v>14744.7</v>
      </c>
      <c r="F32" s="77">
        <v>2.12E-2</v>
      </c>
      <c r="G32" s="540">
        <f>IF((2008-D32)+0.58&lt;0, 0,(2008-D32)+0.58)</f>
        <v>0</v>
      </c>
      <c r="H32" s="75">
        <f>ROUND(E32*G32*F32,2)</f>
        <v>0</v>
      </c>
      <c r="I32" s="77">
        <v>2.06E-2</v>
      </c>
      <c r="J32" s="79">
        <v>0</v>
      </c>
      <c r="K32" s="75">
        <f>ROUND(E32*J32*I32,2)</f>
        <v>0</v>
      </c>
      <c r="L32" s="77">
        <v>1.9E-2</v>
      </c>
      <c r="M32" s="79">
        <f>IF(($J$103+2-D32-J32-G32)&gt;5, 5, ($J$103+2-D32-J32-G32))</f>
        <v>0</v>
      </c>
      <c r="N32" s="75">
        <f>ROUND(E32*L32*M32,2)</f>
        <v>0</v>
      </c>
      <c r="O32" s="77">
        <v>1.9699999999999999E-2</v>
      </c>
      <c r="P32" s="79">
        <f>IF(J32=0,(2021+1-D32)-J32-G32-M32,(2021+1-D32)-J32-G32-M32)</f>
        <v>3</v>
      </c>
      <c r="Q32" s="75">
        <f t="shared" si="2"/>
        <v>871.41</v>
      </c>
      <c r="R32" s="77">
        <v>2.18E-2</v>
      </c>
      <c r="S32" s="79">
        <f t="shared" si="7"/>
        <v>2</v>
      </c>
      <c r="T32" s="75">
        <f t="shared" si="8"/>
        <v>642.87</v>
      </c>
      <c r="U32" s="75">
        <f t="shared" si="9"/>
        <v>1514.28</v>
      </c>
      <c r="V32" s="186">
        <f t="shared" si="3"/>
        <v>13230.42</v>
      </c>
      <c r="W32" s="75">
        <f t="shared" si="10"/>
        <v>321.43</v>
      </c>
      <c r="Y32" s="181">
        <f t="shared" si="4"/>
        <v>-3</v>
      </c>
      <c r="Z32" s="187">
        <f t="shared" si="5"/>
        <v>3</v>
      </c>
      <c r="AA32" s="187" t="str">
        <f>IF(Y32-Z32=0, "ok","error")</f>
        <v>error</v>
      </c>
    </row>
    <row r="33" spans="1:27">
      <c r="A33" s="35" t="s">
        <v>720</v>
      </c>
      <c r="B33" s="35" t="s">
        <v>1083</v>
      </c>
      <c r="C33" s="48">
        <v>353</v>
      </c>
      <c r="D33" s="61">
        <v>2020</v>
      </c>
      <c r="E33" s="150">
        <f>15734.38+15734.38</f>
        <v>31468.76</v>
      </c>
      <c r="F33" s="77">
        <v>2.12E-2</v>
      </c>
      <c r="G33" s="540">
        <f>IF((2008-D33)+0.58&lt;0, 0,(2008-D33)+0.58)</f>
        <v>0</v>
      </c>
      <c r="H33" s="75">
        <f>ROUND(E33*G33*F33,2)</f>
        <v>0</v>
      </c>
      <c r="I33" s="77">
        <v>2.06E-2</v>
      </c>
      <c r="J33" s="79">
        <v>0</v>
      </c>
      <c r="K33" s="75">
        <f>ROUND(E33*J33*I33,2)</f>
        <v>0</v>
      </c>
      <c r="L33" s="77">
        <v>1.9E-2</v>
      </c>
      <c r="M33" s="79">
        <f>IF(($J$103+3-D33-J33-G33)&gt;5, 5, ($J$103+3-D33-J33-G33))</f>
        <v>0</v>
      </c>
      <c r="N33" s="75">
        <f t="shared" si="6"/>
        <v>0</v>
      </c>
      <c r="O33" s="77">
        <v>1.9699999999999999E-2</v>
      </c>
      <c r="P33" s="79">
        <f>IF(J33=0,(2021+1-D33)-J33-G33-M33,(2021+1-D33)-J33-G33-M33)</f>
        <v>2</v>
      </c>
      <c r="Q33" s="75">
        <f t="shared" si="2"/>
        <v>1239.8699999999999</v>
      </c>
      <c r="R33" s="77">
        <v>2.18E-2</v>
      </c>
      <c r="S33" s="79">
        <f t="shared" si="7"/>
        <v>2</v>
      </c>
      <c r="T33" s="75">
        <f t="shared" si="8"/>
        <v>1372.04</v>
      </c>
      <c r="U33" s="75">
        <f t="shared" si="9"/>
        <v>2611.91</v>
      </c>
      <c r="V33" s="186">
        <f t="shared" si="3"/>
        <v>28856.85</v>
      </c>
      <c r="W33" s="75">
        <f t="shared" si="10"/>
        <v>686.02</v>
      </c>
      <c r="Y33" s="181">
        <f t="shared" si="4"/>
        <v>-4</v>
      </c>
      <c r="Z33" s="187">
        <f t="shared" si="5"/>
        <v>2</v>
      </c>
      <c r="AA33" s="187" t="str">
        <f>IF(Y33-Z33=0, "ok","error")</f>
        <v>error</v>
      </c>
    </row>
    <row r="34" spans="1:27">
      <c r="A34" s="35" t="s">
        <v>732</v>
      </c>
      <c r="B34" s="35" t="s">
        <v>133</v>
      </c>
      <c r="C34" s="48">
        <v>353</v>
      </c>
      <c r="D34" s="61">
        <v>1948</v>
      </c>
      <c r="E34" s="150">
        <v>81118.75</v>
      </c>
      <c r="F34" s="77">
        <v>2.12E-2</v>
      </c>
      <c r="G34" s="540">
        <f t="shared" si="11"/>
        <v>60.58</v>
      </c>
      <c r="H34" s="75">
        <f t="shared" ref="H34:H40" si="26">ROUND(E34*G34*F34,2)</f>
        <v>104180.49</v>
      </c>
      <c r="I34" s="77">
        <v>2.06E-2</v>
      </c>
      <c r="J34" s="79">
        <f t="shared" ref="J34:J43" si="27">IF(G34=0,IF($J$98=D34,$J$98-D34+0.42,($J$98+0.42-D34)-G34),$J$98+0.42-D34)-G34</f>
        <v>3.8400000000000745</v>
      </c>
      <c r="K34" s="75">
        <f t="shared" si="12"/>
        <v>6416.82</v>
      </c>
      <c r="L34" s="77">
        <v>1.9E-2</v>
      </c>
      <c r="M34" s="79">
        <f t="shared" ref="M34:M47" si="28">IF(($J$103+1-D34-J34-G34)&gt;5, 5, ($J$103+1-D34-J34-G34))</f>
        <v>5</v>
      </c>
      <c r="N34" s="75">
        <f t="shared" si="6"/>
        <v>7706.28</v>
      </c>
      <c r="O34" s="77">
        <v>1.9699999999999999E-2</v>
      </c>
      <c r="P34" s="79">
        <f t="shared" ref="P34:P45" si="29">IF(J34=0,(2021+1.58-D34)-J34-G34-M34,(2021+1-D34)-J34-G34-M34)</f>
        <v>4.5799999999999272</v>
      </c>
      <c r="Q34" s="75">
        <f t="shared" si="2"/>
        <v>7319.02</v>
      </c>
      <c r="R34" s="77">
        <v>2.18E-2</v>
      </c>
      <c r="S34" s="79">
        <f t="shared" si="7"/>
        <v>2</v>
      </c>
      <c r="T34" s="75">
        <f t="shared" si="8"/>
        <v>3536.78</v>
      </c>
      <c r="U34" s="75">
        <f t="shared" si="9"/>
        <v>129159.39</v>
      </c>
      <c r="V34" s="186">
        <f t="shared" si="3"/>
        <v>-48040.639999999999</v>
      </c>
      <c r="W34" s="75">
        <f t="shared" si="10"/>
        <v>1768.39</v>
      </c>
      <c r="Y34" s="181">
        <f t="shared" si="4"/>
        <v>68</v>
      </c>
      <c r="Z34" s="187">
        <f t="shared" si="5"/>
        <v>69</v>
      </c>
      <c r="AA34" s="187" t="str">
        <f t="shared" si="13"/>
        <v>error</v>
      </c>
    </row>
    <row r="35" spans="1:27">
      <c r="A35" s="35" t="s">
        <v>732</v>
      </c>
      <c r="B35" s="35" t="s">
        <v>133</v>
      </c>
      <c r="C35" s="48">
        <v>353</v>
      </c>
      <c r="D35" s="61">
        <v>1958</v>
      </c>
      <c r="E35" s="150">
        <v>1551.05</v>
      </c>
      <c r="F35" s="77">
        <v>2.12E-2</v>
      </c>
      <c r="G35" s="540">
        <f t="shared" si="11"/>
        <v>50.58</v>
      </c>
      <c r="H35" s="75">
        <f t="shared" si="26"/>
        <v>1663.18</v>
      </c>
      <c r="I35" s="77">
        <v>2.06E-2</v>
      </c>
      <c r="J35" s="79">
        <f t="shared" si="27"/>
        <v>3.8400000000000745</v>
      </c>
      <c r="K35" s="75">
        <f t="shared" si="12"/>
        <v>122.69</v>
      </c>
      <c r="L35" s="77">
        <v>1.9E-2</v>
      </c>
      <c r="M35" s="79">
        <f t="shared" si="28"/>
        <v>5</v>
      </c>
      <c r="N35" s="75">
        <f t="shared" si="6"/>
        <v>147.35</v>
      </c>
      <c r="O35" s="77">
        <v>1.9699999999999999E-2</v>
      </c>
      <c r="P35" s="79">
        <f t="shared" si="29"/>
        <v>4.5799999999999272</v>
      </c>
      <c r="Q35" s="75">
        <f t="shared" si="2"/>
        <v>139.94999999999999</v>
      </c>
      <c r="R35" s="77">
        <v>2.18E-2</v>
      </c>
      <c r="S35" s="79">
        <f t="shared" si="7"/>
        <v>2</v>
      </c>
      <c r="T35" s="75">
        <f t="shared" si="8"/>
        <v>67.63</v>
      </c>
      <c r="U35" s="75">
        <f t="shared" si="9"/>
        <v>2140.8000000000002</v>
      </c>
      <c r="V35" s="186">
        <f t="shared" si="3"/>
        <v>-589.75000000000023</v>
      </c>
      <c r="W35" s="75">
        <f t="shared" si="10"/>
        <v>33.81</v>
      </c>
      <c r="Y35" s="181">
        <f t="shared" si="4"/>
        <v>58</v>
      </c>
      <c r="Z35" s="187">
        <f t="shared" si="5"/>
        <v>59</v>
      </c>
      <c r="AA35" s="187" t="str">
        <f t="shared" si="13"/>
        <v>error</v>
      </c>
    </row>
    <row r="36" spans="1:27">
      <c r="A36" s="35" t="s">
        <v>735</v>
      </c>
      <c r="B36" s="35" t="s">
        <v>134</v>
      </c>
      <c r="C36" s="48">
        <v>353</v>
      </c>
      <c r="D36" s="61">
        <v>1949</v>
      </c>
      <c r="E36" s="150">
        <v>303512.28999999998</v>
      </c>
      <c r="F36" s="77">
        <v>2.12E-2</v>
      </c>
      <c r="G36" s="540">
        <f t="shared" si="11"/>
        <v>59.58</v>
      </c>
      <c r="H36" s="75">
        <f t="shared" si="26"/>
        <v>383365.16</v>
      </c>
      <c r="I36" s="77">
        <v>2.06E-2</v>
      </c>
      <c r="J36" s="79">
        <f t="shared" si="27"/>
        <v>3.8400000000000745</v>
      </c>
      <c r="K36" s="75">
        <f t="shared" si="12"/>
        <v>24009.040000000001</v>
      </c>
      <c r="L36" s="77">
        <v>1.9E-2</v>
      </c>
      <c r="M36" s="79">
        <f t="shared" si="28"/>
        <v>5</v>
      </c>
      <c r="N36" s="75">
        <f t="shared" si="6"/>
        <v>28833.67</v>
      </c>
      <c r="O36" s="77">
        <v>1.9699999999999999E-2</v>
      </c>
      <c r="P36" s="79">
        <f t="shared" si="29"/>
        <v>4.5799999999999272</v>
      </c>
      <c r="Q36" s="75">
        <f t="shared" si="2"/>
        <v>27384.7</v>
      </c>
      <c r="R36" s="77">
        <v>2.18E-2</v>
      </c>
      <c r="S36" s="79">
        <f t="shared" si="7"/>
        <v>2</v>
      </c>
      <c r="T36" s="75">
        <f t="shared" si="8"/>
        <v>13233.14</v>
      </c>
      <c r="U36" s="75">
        <f t="shared" si="9"/>
        <v>476825.70999999996</v>
      </c>
      <c r="V36" s="186">
        <f t="shared" si="3"/>
        <v>-173313.41999999998</v>
      </c>
      <c r="W36" s="75">
        <f t="shared" si="10"/>
        <v>6616.57</v>
      </c>
      <c r="Y36" s="181">
        <f t="shared" si="4"/>
        <v>67</v>
      </c>
      <c r="Z36" s="187">
        <f t="shared" si="5"/>
        <v>68</v>
      </c>
      <c r="AA36" s="187" t="str">
        <f t="shared" si="13"/>
        <v>error</v>
      </c>
    </row>
    <row r="37" spans="1:27">
      <c r="A37" s="35" t="s">
        <v>724</v>
      </c>
      <c r="B37" s="35" t="s">
        <v>135</v>
      </c>
      <c r="C37" s="48">
        <v>353</v>
      </c>
      <c r="D37" s="61">
        <v>1992</v>
      </c>
      <c r="E37" s="150">
        <v>664293.88</v>
      </c>
      <c r="F37" s="77">
        <v>2.12E-2</v>
      </c>
      <c r="G37" s="540">
        <f t="shared" si="11"/>
        <v>16.579999999999998</v>
      </c>
      <c r="H37" s="75">
        <f t="shared" si="26"/>
        <v>233496.64</v>
      </c>
      <c r="I37" s="77">
        <v>2.06E-2</v>
      </c>
      <c r="J37" s="79">
        <f t="shared" si="27"/>
        <v>3.8400000000000745</v>
      </c>
      <c r="K37" s="75">
        <f t="shared" si="12"/>
        <v>52548.3</v>
      </c>
      <c r="L37" s="77">
        <v>1.9E-2</v>
      </c>
      <c r="M37" s="79">
        <f t="shared" si="28"/>
        <v>5</v>
      </c>
      <c r="N37" s="75">
        <f t="shared" si="6"/>
        <v>63107.92</v>
      </c>
      <c r="O37" s="77">
        <v>1.9699999999999999E-2</v>
      </c>
      <c r="P37" s="79">
        <f t="shared" si="29"/>
        <v>4.5799999999999272</v>
      </c>
      <c r="Q37" s="75">
        <f t="shared" si="2"/>
        <v>59936.58</v>
      </c>
      <c r="R37" s="77">
        <v>2.18E-2</v>
      </c>
      <c r="S37" s="79">
        <f t="shared" si="7"/>
        <v>2</v>
      </c>
      <c r="T37" s="75">
        <f t="shared" si="8"/>
        <v>28963.21</v>
      </c>
      <c r="U37" s="75">
        <f t="shared" si="9"/>
        <v>438052.65</v>
      </c>
      <c r="V37" s="186">
        <f t="shared" si="3"/>
        <v>226241.22999999998</v>
      </c>
      <c r="W37" s="75">
        <f t="shared" si="10"/>
        <v>14481.61</v>
      </c>
      <c r="Y37" s="181">
        <f t="shared" si="4"/>
        <v>24</v>
      </c>
      <c r="Z37" s="187">
        <f t="shared" si="5"/>
        <v>25</v>
      </c>
      <c r="AA37" s="187" t="str">
        <f t="shared" si="13"/>
        <v>error</v>
      </c>
    </row>
    <row r="38" spans="1:27">
      <c r="A38" s="35" t="s">
        <v>721</v>
      </c>
      <c r="B38" s="35" t="s">
        <v>136</v>
      </c>
      <c r="C38" s="48">
        <v>353</v>
      </c>
      <c r="D38" s="61">
        <v>1949</v>
      </c>
      <c r="E38" s="150">
        <v>100827.22</v>
      </c>
      <c r="F38" s="77">
        <v>2.12E-2</v>
      </c>
      <c r="G38" s="540">
        <f t="shared" si="11"/>
        <v>59.58</v>
      </c>
      <c r="H38" s="75">
        <f t="shared" si="26"/>
        <v>127354.46</v>
      </c>
      <c r="I38" s="77">
        <v>2.06E-2</v>
      </c>
      <c r="J38" s="79">
        <f t="shared" si="27"/>
        <v>3.8400000000000745</v>
      </c>
      <c r="K38" s="75">
        <f t="shared" si="12"/>
        <v>7975.84</v>
      </c>
      <c r="L38" s="77">
        <v>1.9E-2</v>
      </c>
      <c r="M38" s="79">
        <f t="shared" si="28"/>
        <v>5</v>
      </c>
      <c r="N38" s="75">
        <f t="shared" si="6"/>
        <v>9578.59</v>
      </c>
      <c r="O38" s="77">
        <v>1.9699999999999999E-2</v>
      </c>
      <c r="P38" s="79">
        <f t="shared" si="29"/>
        <v>4.5799999999999272</v>
      </c>
      <c r="Q38" s="75">
        <f t="shared" si="2"/>
        <v>9097.24</v>
      </c>
      <c r="R38" s="77">
        <v>2.18E-2</v>
      </c>
      <c r="S38" s="79">
        <f t="shared" si="7"/>
        <v>2</v>
      </c>
      <c r="T38" s="75">
        <f t="shared" si="8"/>
        <v>4396.07</v>
      </c>
      <c r="U38" s="75">
        <f t="shared" si="9"/>
        <v>158402.20000000001</v>
      </c>
      <c r="V38" s="186">
        <f t="shared" si="3"/>
        <v>-57574.98000000001</v>
      </c>
      <c r="W38" s="75">
        <f t="shared" si="10"/>
        <v>2198.0300000000002</v>
      </c>
      <c r="Y38" s="181">
        <f t="shared" si="4"/>
        <v>67</v>
      </c>
      <c r="Z38" s="187">
        <f t="shared" si="5"/>
        <v>68</v>
      </c>
      <c r="AA38" s="187" t="str">
        <f t="shared" si="13"/>
        <v>error</v>
      </c>
    </row>
    <row r="39" spans="1:27">
      <c r="A39" s="35" t="s">
        <v>721</v>
      </c>
      <c r="B39" s="35" t="s">
        <v>136</v>
      </c>
      <c r="C39" s="48">
        <v>353</v>
      </c>
      <c r="D39" s="61">
        <v>1951</v>
      </c>
      <c r="E39" s="150">
        <v>43216.23</v>
      </c>
      <c r="F39" s="77">
        <v>2.12E-2</v>
      </c>
      <c r="G39" s="540">
        <f t="shared" si="11"/>
        <v>57.58</v>
      </c>
      <c r="H39" s="75">
        <f t="shared" si="26"/>
        <v>52753.88</v>
      </c>
      <c r="I39" s="77">
        <v>2.06E-2</v>
      </c>
      <c r="J39" s="79">
        <f t="shared" si="27"/>
        <v>3.8400000000000745</v>
      </c>
      <c r="K39" s="75">
        <f t="shared" si="12"/>
        <v>3418.58</v>
      </c>
      <c r="L39" s="77">
        <v>1.9E-2</v>
      </c>
      <c r="M39" s="79">
        <f t="shared" si="28"/>
        <v>5</v>
      </c>
      <c r="N39" s="75">
        <f t="shared" si="6"/>
        <v>4105.54</v>
      </c>
      <c r="O39" s="77">
        <v>1.9699999999999999E-2</v>
      </c>
      <c r="P39" s="79">
        <f t="shared" si="29"/>
        <v>4.5799999999999272</v>
      </c>
      <c r="Q39" s="75">
        <f t="shared" si="2"/>
        <v>3899.23</v>
      </c>
      <c r="R39" s="77">
        <v>2.18E-2</v>
      </c>
      <c r="S39" s="79">
        <f t="shared" si="7"/>
        <v>2</v>
      </c>
      <c r="T39" s="75">
        <f t="shared" si="8"/>
        <v>1884.23</v>
      </c>
      <c r="U39" s="75">
        <f t="shared" si="9"/>
        <v>66061.460000000006</v>
      </c>
      <c r="V39" s="186">
        <f t="shared" si="3"/>
        <v>-22845.230000000003</v>
      </c>
      <c r="W39" s="75">
        <f t="shared" si="10"/>
        <v>942.11</v>
      </c>
      <c r="Y39" s="181">
        <f t="shared" si="4"/>
        <v>65</v>
      </c>
      <c r="Z39" s="187">
        <f t="shared" si="5"/>
        <v>66</v>
      </c>
      <c r="AA39" s="187" t="str">
        <f t="shared" si="13"/>
        <v>error</v>
      </c>
    </row>
    <row r="40" spans="1:27">
      <c r="A40" s="35" t="s">
        <v>721</v>
      </c>
      <c r="B40" s="35" t="s">
        <v>136</v>
      </c>
      <c r="C40" s="48">
        <v>353</v>
      </c>
      <c r="D40" s="61">
        <v>1957</v>
      </c>
      <c r="E40" s="150">
        <v>208866.2</v>
      </c>
      <c r="F40" s="77">
        <v>2.12E-2</v>
      </c>
      <c r="G40" s="540">
        <f t="shared" si="11"/>
        <v>51.58</v>
      </c>
      <c r="H40" s="75">
        <f t="shared" si="26"/>
        <v>228394.35</v>
      </c>
      <c r="I40" s="77">
        <v>2.06E-2</v>
      </c>
      <c r="J40" s="79">
        <f t="shared" si="27"/>
        <v>3.8400000000000745</v>
      </c>
      <c r="K40" s="75">
        <f t="shared" si="12"/>
        <v>16522.150000000001</v>
      </c>
      <c r="L40" s="77">
        <v>1.9E-2</v>
      </c>
      <c r="M40" s="79">
        <f t="shared" si="28"/>
        <v>5</v>
      </c>
      <c r="N40" s="75">
        <f t="shared" si="6"/>
        <v>19842.29</v>
      </c>
      <c r="O40" s="77">
        <v>1.9699999999999999E-2</v>
      </c>
      <c r="P40" s="79">
        <f t="shared" si="29"/>
        <v>4.5799999999999272</v>
      </c>
      <c r="Q40" s="75">
        <f t="shared" si="2"/>
        <v>18845.16</v>
      </c>
      <c r="R40" s="77">
        <v>2.18E-2</v>
      </c>
      <c r="S40" s="79">
        <f t="shared" si="7"/>
        <v>2</v>
      </c>
      <c r="T40" s="75">
        <f t="shared" si="8"/>
        <v>9106.57</v>
      </c>
      <c r="U40" s="75">
        <f t="shared" si="9"/>
        <v>292710.51999999996</v>
      </c>
      <c r="V40" s="186">
        <f t="shared" si="3"/>
        <v>-83844.319999999949</v>
      </c>
      <c r="W40" s="75">
        <f t="shared" si="10"/>
        <v>4553.28</v>
      </c>
      <c r="Y40" s="181">
        <f t="shared" si="4"/>
        <v>59</v>
      </c>
      <c r="Z40" s="187">
        <f t="shared" si="5"/>
        <v>60</v>
      </c>
      <c r="AA40" s="187" t="str">
        <f t="shared" si="13"/>
        <v>error</v>
      </c>
    </row>
    <row r="41" spans="1:27">
      <c r="A41" s="35" t="s">
        <v>721</v>
      </c>
      <c r="B41" s="35" t="s">
        <v>136</v>
      </c>
      <c r="C41" s="48">
        <v>353</v>
      </c>
      <c r="D41" s="61">
        <v>1979</v>
      </c>
      <c r="E41" s="150">
        <v>2963.82</v>
      </c>
      <c r="F41" s="77">
        <v>2.12E-2</v>
      </c>
      <c r="G41" s="540">
        <f t="shared" si="11"/>
        <v>29.58</v>
      </c>
      <c r="H41" s="75">
        <f>ROUND(E41*G41*F41,2)</f>
        <v>1858.6</v>
      </c>
      <c r="I41" s="77">
        <v>2.06E-2</v>
      </c>
      <c r="J41" s="79">
        <f t="shared" si="27"/>
        <v>3.8400000000000745</v>
      </c>
      <c r="K41" s="75">
        <f t="shared" si="12"/>
        <v>234.45</v>
      </c>
      <c r="L41" s="77">
        <v>1.9E-2</v>
      </c>
      <c r="M41" s="79">
        <f t="shared" si="28"/>
        <v>5</v>
      </c>
      <c r="N41" s="75">
        <f t="shared" si="6"/>
        <v>281.56</v>
      </c>
      <c r="O41" s="77">
        <v>1.9699999999999999E-2</v>
      </c>
      <c r="P41" s="79">
        <f t="shared" si="29"/>
        <v>4.5799999999999272</v>
      </c>
      <c r="Q41" s="75">
        <f t="shared" si="2"/>
        <v>267.41000000000003</v>
      </c>
      <c r="R41" s="77">
        <v>2.18E-2</v>
      </c>
      <c r="S41" s="79">
        <f t="shared" si="7"/>
        <v>2</v>
      </c>
      <c r="T41" s="75">
        <f t="shared" si="8"/>
        <v>129.22</v>
      </c>
      <c r="U41" s="75">
        <f t="shared" si="9"/>
        <v>2771.2399999999993</v>
      </c>
      <c r="V41" s="186">
        <f t="shared" si="3"/>
        <v>192.58000000000084</v>
      </c>
      <c r="W41" s="75">
        <f t="shared" si="10"/>
        <v>64.61</v>
      </c>
      <c r="Y41" s="181">
        <f t="shared" si="4"/>
        <v>37</v>
      </c>
      <c r="Z41" s="187">
        <f t="shared" si="5"/>
        <v>38</v>
      </c>
      <c r="AA41" s="187" t="str">
        <f t="shared" si="13"/>
        <v>error</v>
      </c>
    </row>
    <row r="42" spans="1:27">
      <c r="A42" s="35" t="s">
        <v>721</v>
      </c>
      <c r="B42" s="35" t="s">
        <v>136</v>
      </c>
      <c r="C42" s="48">
        <v>353</v>
      </c>
      <c r="D42" s="61">
        <v>1980</v>
      </c>
      <c r="E42" s="150">
        <v>6099.17</v>
      </c>
      <c r="F42" s="77">
        <v>2.12E-2</v>
      </c>
      <c r="G42" s="540">
        <f t="shared" si="11"/>
        <v>28.58</v>
      </c>
      <c r="H42" s="75">
        <f>ROUND(E42*G42*F42,2)</f>
        <v>3695.46</v>
      </c>
      <c r="I42" s="77">
        <v>2.06E-2</v>
      </c>
      <c r="J42" s="79">
        <f t="shared" si="27"/>
        <v>3.8400000000000745</v>
      </c>
      <c r="K42" s="75">
        <f t="shared" si="12"/>
        <v>482.47</v>
      </c>
      <c r="L42" s="77">
        <v>1.9E-2</v>
      </c>
      <c r="M42" s="79">
        <f t="shared" si="28"/>
        <v>5</v>
      </c>
      <c r="N42" s="75">
        <f t="shared" si="6"/>
        <v>579.41999999999996</v>
      </c>
      <c r="O42" s="77">
        <v>1.9699999999999999E-2</v>
      </c>
      <c r="P42" s="79">
        <f t="shared" si="29"/>
        <v>4.5799999999999272</v>
      </c>
      <c r="Q42" s="75">
        <f t="shared" si="2"/>
        <v>550.29999999999995</v>
      </c>
      <c r="R42" s="77">
        <v>2.18E-2</v>
      </c>
      <c r="S42" s="79">
        <f t="shared" si="7"/>
        <v>2</v>
      </c>
      <c r="T42" s="75">
        <f t="shared" si="8"/>
        <v>265.92</v>
      </c>
      <c r="U42" s="75">
        <f t="shared" si="9"/>
        <v>5573.5700000000006</v>
      </c>
      <c r="V42" s="186">
        <f t="shared" si="3"/>
        <v>525.59999999999945</v>
      </c>
      <c r="W42" s="75">
        <f t="shared" si="10"/>
        <v>132.96</v>
      </c>
      <c r="Y42" s="181">
        <f t="shared" si="4"/>
        <v>36</v>
      </c>
      <c r="Z42" s="187">
        <f t="shared" si="5"/>
        <v>37</v>
      </c>
      <c r="AA42" s="187" t="str">
        <f t="shared" si="13"/>
        <v>error</v>
      </c>
    </row>
    <row r="43" spans="1:27">
      <c r="A43" s="35" t="s">
        <v>721</v>
      </c>
      <c r="B43" s="35" t="s">
        <v>136</v>
      </c>
      <c r="C43" s="48">
        <v>353</v>
      </c>
      <c r="D43" s="61">
        <v>2000</v>
      </c>
      <c r="E43" s="150">
        <f>113912.1-18985.35</f>
        <v>94926.75</v>
      </c>
      <c r="F43" s="77">
        <v>2.12E-2</v>
      </c>
      <c r="G43" s="540">
        <f t="shared" si="11"/>
        <v>8.58</v>
      </c>
      <c r="H43" s="75">
        <f t="shared" ref="H43:H54" si="30">ROUND(E43*G43*F43,2)</f>
        <v>17266.8</v>
      </c>
      <c r="I43" s="77">
        <v>2.06E-2</v>
      </c>
      <c r="J43" s="79">
        <f t="shared" si="27"/>
        <v>3.8400000000000727</v>
      </c>
      <c r="K43" s="75">
        <f t="shared" si="12"/>
        <v>7509.09</v>
      </c>
      <c r="L43" s="77">
        <v>1.9E-2</v>
      </c>
      <c r="M43" s="79">
        <f t="shared" si="28"/>
        <v>5</v>
      </c>
      <c r="N43" s="75">
        <f t="shared" si="6"/>
        <v>9018.0400000000009</v>
      </c>
      <c r="O43" s="77">
        <v>1.9699999999999999E-2</v>
      </c>
      <c r="P43" s="79">
        <f t="shared" si="29"/>
        <v>4.5799999999999255</v>
      </c>
      <c r="Q43" s="75">
        <f t="shared" si="2"/>
        <v>8564.86</v>
      </c>
      <c r="R43" s="77">
        <v>2.18E-2</v>
      </c>
      <c r="S43" s="79">
        <f t="shared" si="7"/>
        <v>2</v>
      </c>
      <c r="T43" s="75">
        <f t="shared" si="8"/>
        <v>4138.8100000000004</v>
      </c>
      <c r="U43" s="75">
        <f t="shared" si="9"/>
        <v>46497.599999999999</v>
      </c>
      <c r="V43" s="186">
        <f t="shared" si="3"/>
        <v>48429.15</v>
      </c>
      <c r="W43" s="75">
        <f t="shared" si="10"/>
        <v>2069.4</v>
      </c>
      <c r="Y43" s="181">
        <f t="shared" si="4"/>
        <v>16</v>
      </c>
      <c r="Z43" s="187">
        <f t="shared" si="5"/>
        <v>17</v>
      </c>
      <c r="AA43" s="187" t="str">
        <f t="shared" si="13"/>
        <v>error</v>
      </c>
    </row>
    <row r="44" spans="1:27">
      <c r="A44" s="35" t="s">
        <v>721</v>
      </c>
      <c r="B44" s="35" t="s">
        <v>136</v>
      </c>
      <c r="C44" s="48">
        <v>353</v>
      </c>
      <c r="D44" s="61">
        <v>2014</v>
      </c>
      <c r="E44" s="150">
        <v>13655.37</v>
      </c>
      <c r="F44" s="77">
        <v>2.12E-2</v>
      </c>
      <c r="G44" s="540">
        <f t="shared" si="11"/>
        <v>0</v>
      </c>
      <c r="H44" s="75">
        <f t="shared" si="30"/>
        <v>0</v>
      </c>
      <c r="I44" s="77">
        <v>2.06E-2</v>
      </c>
      <c r="J44" s="79">
        <v>0</v>
      </c>
      <c r="K44" s="75">
        <f t="shared" si="12"/>
        <v>0</v>
      </c>
      <c r="L44" s="77">
        <v>1.9E-2</v>
      </c>
      <c r="M44" s="79">
        <f t="shared" si="28"/>
        <v>4</v>
      </c>
      <c r="N44" s="75">
        <f t="shared" si="6"/>
        <v>1037.81</v>
      </c>
      <c r="O44" s="77">
        <v>1.9699999999999999E-2</v>
      </c>
      <c r="P44" s="79">
        <f t="shared" si="29"/>
        <v>4.5799999999999272</v>
      </c>
      <c r="Q44" s="75">
        <f t="shared" si="2"/>
        <v>1232.07</v>
      </c>
      <c r="R44" s="77">
        <v>2.18E-2</v>
      </c>
      <c r="S44" s="79">
        <f t="shared" si="7"/>
        <v>2</v>
      </c>
      <c r="T44" s="75">
        <f t="shared" si="8"/>
        <v>595.37</v>
      </c>
      <c r="U44" s="75">
        <f t="shared" si="9"/>
        <v>2865.25</v>
      </c>
      <c r="V44" s="186">
        <f t="shared" si="3"/>
        <v>10790.12</v>
      </c>
      <c r="W44" s="75">
        <f t="shared" si="10"/>
        <v>297.69</v>
      </c>
      <c r="Y44" s="181">
        <f t="shared" si="4"/>
        <v>2</v>
      </c>
      <c r="Z44" s="187">
        <f t="shared" si="5"/>
        <v>4.5799999999999272</v>
      </c>
      <c r="AA44" s="187" t="str">
        <f t="shared" si="13"/>
        <v>error</v>
      </c>
    </row>
    <row r="45" spans="1:27">
      <c r="A45" s="35" t="s">
        <v>721</v>
      </c>
      <c r="B45" s="35" t="s">
        <v>136</v>
      </c>
      <c r="C45" s="48">
        <v>353</v>
      </c>
      <c r="D45" s="61">
        <v>2017</v>
      </c>
      <c r="E45" s="150">
        <v>1815285.64</v>
      </c>
      <c r="F45" s="77">
        <v>2.12E-2</v>
      </c>
      <c r="G45" s="540">
        <f>IF((2008-D45)+0.58&lt;0, 0,(2008-D45)+0.58)</f>
        <v>0</v>
      </c>
      <c r="H45" s="75">
        <f>ROUND(E45*G45*F45,2)</f>
        <v>0</v>
      </c>
      <c r="I45" s="77">
        <v>2.06E-2</v>
      </c>
      <c r="J45" s="79">
        <v>0</v>
      </c>
      <c r="K45" s="75">
        <f>ROUND(E45*J45*I45,2)</f>
        <v>0</v>
      </c>
      <c r="L45" s="77">
        <v>1.9E-2</v>
      </c>
      <c r="M45" s="79">
        <f t="shared" si="28"/>
        <v>1</v>
      </c>
      <c r="N45" s="75">
        <f>ROUND(E45*L45*M45,2)</f>
        <v>34490.43</v>
      </c>
      <c r="O45" s="77">
        <v>1.9699999999999999E-2</v>
      </c>
      <c r="P45" s="79">
        <f t="shared" si="29"/>
        <v>4.5799999999999272</v>
      </c>
      <c r="Q45" s="75">
        <f t="shared" si="2"/>
        <v>163785.96</v>
      </c>
      <c r="R45" s="77">
        <v>2.18E-2</v>
      </c>
      <c r="S45" s="79">
        <f t="shared" si="7"/>
        <v>2</v>
      </c>
      <c r="T45" s="75">
        <f t="shared" si="8"/>
        <v>79146.45</v>
      </c>
      <c r="U45" s="75">
        <f t="shared" si="9"/>
        <v>277422.83999999997</v>
      </c>
      <c r="V45" s="186">
        <f t="shared" si="3"/>
        <v>1537862.7999999998</v>
      </c>
      <c r="W45" s="75">
        <f t="shared" si="10"/>
        <v>39573.230000000003</v>
      </c>
      <c r="Y45" s="181">
        <f t="shared" si="4"/>
        <v>-1</v>
      </c>
      <c r="Z45" s="187">
        <f t="shared" si="5"/>
        <v>4.5799999999999272</v>
      </c>
      <c r="AA45" s="187" t="str">
        <f>IF(Y45-Z45=0, "ok","error")</f>
        <v>error</v>
      </c>
    </row>
    <row r="46" spans="1:27">
      <c r="A46" s="35" t="s">
        <v>721</v>
      </c>
      <c r="B46" s="35" t="s">
        <v>136</v>
      </c>
      <c r="C46" s="48">
        <v>353</v>
      </c>
      <c r="D46" s="61">
        <v>2018</v>
      </c>
      <c r="E46" s="150">
        <f>1927746.13+15701.97</f>
        <v>1943448.0999999999</v>
      </c>
      <c r="F46" s="77">
        <v>2.12E-2</v>
      </c>
      <c r="G46" s="540">
        <f>IF((2008-D46)+0.58&lt;0, 0,(2008-D46)+0.58)</f>
        <v>0</v>
      </c>
      <c r="H46" s="75">
        <f>ROUND(E46*G46*F46,2)</f>
        <v>0</v>
      </c>
      <c r="I46" s="77">
        <v>2.06E-2</v>
      </c>
      <c r="J46" s="79">
        <v>0</v>
      </c>
      <c r="K46" s="75">
        <f>ROUND(E46*J46*I46,2)</f>
        <v>0</v>
      </c>
      <c r="L46" s="77">
        <v>1.9E-2</v>
      </c>
      <c r="M46" s="79">
        <f t="shared" si="28"/>
        <v>0</v>
      </c>
      <c r="N46" s="75">
        <f>ROUND(E46*L46*M46,2)</f>
        <v>0</v>
      </c>
      <c r="O46" s="77">
        <v>1.9699999999999999E-2</v>
      </c>
      <c r="P46" s="79">
        <f>IF(J46=0,(2021+1-D46)-J46-G46-M46,(2021+1-D46)-J46-G46-M46)</f>
        <v>4</v>
      </c>
      <c r="Q46" s="75">
        <f t="shared" ref="Q46:Q77" si="31">ROUND(E46*O46*P46,2)</f>
        <v>153143.71</v>
      </c>
      <c r="R46" s="77">
        <v>2.18E-2</v>
      </c>
      <c r="S46" s="79">
        <f t="shared" si="7"/>
        <v>2</v>
      </c>
      <c r="T46" s="75">
        <f t="shared" si="8"/>
        <v>84734.34</v>
      </c>
      <c r="U46" s="75">
        <f t="shared" si="9"/>
        <v>237878.05</v>
      </c>
      <c r="V46" s="186">
        <f t="shared" ref="V46:V77" si="32">E46-U46</f>
        <v>1705570.0499999998</v>
      </c>
      <c r="W46" s="75">
        <f t="shared" si="10"/>
        <v>42367.17</v>
      </c>
      <c r="Y46" s="181">
        <f t="shared" ref="Y46:Y77" si="33">2015+1-D46</f>
        <v>-2</v>
      </c>
      <c r="Z46" s="187">
        <f t="shared" ref="Z46:Z77" si="34">G46+J46+P46</f>
        <v>4</v>
      </c>
      <c r="AA46" s="187" t="str">
        <f>IF(Y46-Z46=0, "ok","error")</f>
        <v>error</v>
      </c>
    </row>
    <row r="47" spans="1:27">
      <c r="A47" s="35" t="s">
        <v>725</v>
      </c>
      <c r="B47" s="35" t="s">
        <v>137</v>
      </c>
      <c r="C47" s="48">
        <v>353</v>
      </c>
      <c r="D47" s="61">
        <v>1992</v>
      </c>
      <c r="E47" s="150">
        <v>188487.53</v>
      </c>
      <c r="F47" s="77">
        <v>2.12E-2</v>
      </c>
      <c r="G47" s="540">
        <f t="shared" si="11"/>
        <v>16.579999999999998</v>
      </c>
      <c r="H47" s="75">
        <f t="shared" si="30"/>
        <v>66252.61</v>
      </c>
      <c r="I47" s="77">
        <v>2.06E-2</v>
      </c>
      <c r="J47" s="79">
        <f>IF(G47=0,IF($J$98=D47,$J$98-D47+0.42,($J$98+0.42-D47)-G47),$J$98+0.42-D47)-G47</f>
        <v>3.8400000000000745</v>
      </c>
      <c r="K47" s="75">
        <f t="shared" si="12"/>
        <v>14910.12</v>
      </c>
      <c r="L47" s="77">
        <v>1.9E-2</v>
      </c>
      <c r="M47" s="79">
        <f t="shared" si="28"/>
        <v>5</v>
      </c>
      <c r="N47" s="75">
        <f t="shared" si="6"/>
        <v>17906.32</v>
      </c>
      <c r="O47" s="77">
        <v>1.9699999999999999E-2</v>
      </c>
      <c r="P47" s="79">
        <f>IF(J47=0,(2021+1.58-D47)-J47-G47-M47,(2021+1-D47)-J47-G47-M47)</f>
        <v>4.5799999999999272</v>
      </c>
      <c r="Q47" s="75">
        <f t="shared" si="31"/>
        <v>17006.48</v>
      </c>
      <c r="R47" s="77">
        <v>2.18E-2</v>
      </c>
      <c r="S47" s="79">
        <f t="shared" si="7"/>
        <v>2</v>
      </c>
      <c r="T47" s="75">
        <f t="shared" si="8"/>
        <v>8218.06</v>
      </c>
      <c r="U47" s="75">
        <f t="shared" si="9"/>
        <v>124293.58999999998</v>
      </c>
      <c r="V47" s="186">
        <f t="shared" si="32"/>
        <v>64193.940000000017</v>
      </c>
      <c r="W47" s="75">
        <f t="shared" si="10"/>
        <v>4109.03</v>
      </c>
      <c r="Y47" s="181">
        <f t="shared" si="33"/>
        <v>24</v>
      </c>
      <c r="Z47" s="187">
        <f t="shared" si="34"/>
        <v>25</v>
      </c>
      <c r="AA47" s="187" t="str">
        <f t="shared" si="13"/>
        <v>error</v>
      </c>
    </row>
    <row r="48" spans="1:27">
      <c r="A48" s="35" t="s">
        <v>725</v>
      </c>
      <c r="B48" s="35" t="s">
        <v>137</v>
      </c>
      <c r="C48" s="48">
        <v>353</v>
      </c>
      <c r="D48" s="61">
        <v>2020</v>
      </c>
      <c r="E48" s="150">
        <v>210174.99</v>
      </c>
      <c r="F48" s="77">
        <v>2.12E-2</v>
      </c>
      <c r="G48" s="540">
        <f>IF((2008-D48)+0.58&lt;0, 0,(2008-D48)+0.58)</f>
        <v>0</v>
      </c>
      <c r="H48" s="75">
        <f>ROUND(E48*G48*F48,2)</f>
        <v>0</v>
      </c>
      <c r="I48" s="77">
        <v>2.06E-2</v>
      </c>
      <c r="J48" s="79">
        <v>0</v>
      </c>
      <c r="K48" s="75">
        <f>ROUND(E48*J48*I48,2)</f>
        <v>0</v>
      </c>
      <c r="L48" s="77">
        <v>1.9E-2</v>
      </c>
      <c r="M48" s="79">
        <v>0</v>
      </c>
      <c r="N48" s="75">
        <f>ROUND(E48*L48*M48,2)</f>
        <v>0</v>
      </c>
      <c r="O48" s="77">
        <v>1.9699999999999999E-2</v>
      </c>
      <c r="P48" s="79">
        <f>IF(J48=0,(2021+1-D48)-J48-G48-M48,(2021+1-D48)-J48-G48-M48)</f>
        <v>2</v>
      </c>
      <c r="Q48" s="75">
        <f t="shared" si="31"/>
        <v>8280.89</v>
      </c>
      <c r="R48" s="77">
        <v>2.18E-2</v>
      </c>
      <c r="S48" s="79">
        <f t="shared" si="7"/>
        <v>2</v>
      </c>
      <c r="T48" s="75">
        <f t="shared" si="8"/>
        <v>9163.6299999999992</v>
      </c>
      <c r="U48" s="75">
        <f t="shared" si="9"/>
        <v>17444.519999999997</v>
      </c>
      <c r="V48" s="186">
        <f t="shared" si="32"/>
        <v>192730.47</v>
      </c>
      <c r="W48" s="75">
        <f t="shared" si="10"/>
        <v>4581.8100000000004</v>
      </c>
      <c r="Y48" s="181">
        <f t="shared" si="33"/>
        <v>-4</v>
      </c>
      <c r="Z48" s="187">
        <f t="shared" si="34"/>
        <v>2</v>
      </c>
      <c r="AA48" s="187" t="str">
        <f>IF(Y48-Z48=0, "ok","error")</f>
        <v>error</v>
      </c>
    </row>
    <row r="49" spans="1:27">
      <c r="A49" s="35" t="s">
        <v>728</v>
      </c>
      <c r="B49" s="35" t="s">
        <v>138</v>
      </c>
      <c r="C49" s="48">
        <v>353</v>
      </c>
      <c r="D49" s="61">
        <v>1952</v>
      </c>
      <c r="E49" s="150">
        <v>344946.87</v>
      </c>
      <c r="F49" s="77">
        <v>2.12E-2</v>
      </c>
      <c r="G49" s="540">
        <f t="shared" si="11"/>
        <v>56.58</v>
      </c>
      <c r="H49" s="75">
        <f t="shared" si="30"/>
        <v>413762.39</v>
      </c>
      <c r="I49" s="77">
        <v>2.06E-2</v>
      </c>
      <c r="J49" s="79">
        <f t="shared" ref="J49:J55" si="35">IF(G49=0,IF($J$98=D49,$J$98-D49+0.42,($J$98+0.42-D49)-G49),$J$98+0.42-D49)-G49</f>
        <v>3.8400000000000745</v>
      </c>
      <c r="K49" s="75">
        <f t="shared" si="12"/>
        <v>27286.68</v>
      </c>
      <c r="L49" s="77">
        <v>1.9E-2</v>
      </c>
      <c r="M49" s="79">
        <f t="shared" ref="M49:M86" si="36">IF(($J$103+1-D49-J49-G49)&gt;5, 5, ($J$103+1-D49-J49-G49))</f>
        <v>5</v>
      </c>
      <c r="N49" s="75">
        <f t="shared" si="6"/>
        <v>32769.949999999997</v>
      </c>
      <c r="O49" s="77">
        <v>1.9699999999999999E-2</v>
      </c>
      <c r="P49" s="79">
        <f t="shared" ref="P49:P55" si="37">IF(J49=0,(2021+1.58-D49)-J49-G49-M49,(2021+1-D49)-J49-G49-M49)</f>
        <v>4.5799999999999272</v>
      </c>
      <c r="Q49" s="75">
        <f t="shared" si="31"/>
        <v>31123.18</v>
      </c>
      <c r="R49" s="77">
        <v>2.18E-2</v>
      </c>
      <c r="S49" s="79">
        <f t="shared" si="7"/>
        <v>2</v>
      </c>
      <c r="T49" s="75">
        <f t="shared" si="8"/>
        <v>15039.68</v>
      </c>
      <c r="U49" s="75">
        <f t="shared" si="9"/>
        <v>519981.88</v>
      </c>
      <c r="V49" s="186">
        <f t="shared" si="32"/>
        <v>-175035.01</v>
      </c>
      <c r="W49" s="75">
        <f t="shared" si="10"/>
        <v>7519.84</v>
      </c>
      <c r="Y49" s="181">
        <f t="shared" si="33"/>
        <v>64</v>
      </c>
      <c r="Z49" s="187">
        <f t="shared" si="34"/>
        <v>65</v>
      </c>
      <c r="AA49" s="187" t="str">
        <f t="shared" si="13"/>
        <v>error</v>
      </c>
    </row>
    <row r="50" spans="1:27">
      <c r="A50" s="35" t="s">
        <v>728</v>
      </c>
      <c r="B50" s="35" t="s">
        <v>138</v>
      </c>
      <c r="C50" s="48">
        <v>353</v>
      </c>
      <c r="D50" s="61">
        <v>1965</v>
      </c>
      <c r="E50" s="150">
        <v>1480.23</v>
      </c>
      <c r="F50" s="77">
        <v>2.12E-2</v>
      </c>
      <c r="G50" s="540">
        <f t="shared" si="11"/>
        <v>43.58</v>
      </c>
      <c r="H50" s="75">
        <f t="shared" si="30"/>
        <v>1367.58</v>
      </c>
      <c r="I50" s="77">
        <v>2.06E-2</v>
      </c>
      <c r="J50" s="79">
        <f t="shared" si="35"/>
        <v>3.8400000000000745</v>
      </c>
      <c r="K50" s="75">
        <f t="shared" si="12"/>
        <v>117.09</v>
      </c>
      <c r="L50" s="77">
        <v>1.9E-2</v>
      </c>
      <c r="M50" s="79">
        <f t="shared" si="36"/>
        <v>5</v>
      </c>
      <c r="N50" s="75">
        <f t="shared" si="6"/>
        <v>140.62</v>
      </c>
      <c r="O50" s="77">
        <v>1.9699999999999999E-2</v>
      </c>
      <c r="P50" s="79">
        <f t="shared" si="37"/>
        <v>4.5799999999999272</v>
      </c>
      <c r="Q50" s="75">
        <f t="shared" si="31"/>
        <v>133.56</v>
      </c>
      <c r="R50" s="77">
        <v>2.18E-2</v>
      </c>
      <c r="S50" s="79">
        <f t="shared" si="7"/>
        <v>2</v>
      </c>
      <c r="T50" s="75">
        <f t="shared" si="8"/>
        <v>64.540000000000006</v>
      </c>
      <c r="U50" s="75">
        <f t="shared" si="9"/>
        <v>1823.3899999999999</v>
      </c>
      <c r="V50" s="186">
        <f t="shared" si="32"/>
        <v>-343.15999999999985</v>
      </c>
      <c r="W50" s="75">
        <f t="shared" si="10"/>
        <v>32.270000000000003</v>
      </c>
      <c r="Y50" s="181">
        <f t="shared" si="33"/>
        <v>51</v>
      </c>
      <c r="Z50" s="187">
        <f t="shared" si="34"/>
        <v>52</v>
      </c>
      <c r="AA50" s="187" t="str">
        <f t="shared" si="13"/>
        <v>error</v>
      </c>
    </row>
    <row r="51" spans="1:27">
      <c r="A51" s="35" t="s">
        <v>728</v>
      </c>
      <c r="B51" s="35" t="s">
        <v>138</v>
      </c>
      <c r="C51" s="48">
        <v>353</v>
      </c>
      <c r="D51" s="61">
        <v>1972</v>
      </c>
      <c r="E51" s="150">
        <v>609.84</v>
      </c>
      <c r="F51" s="77">
        <v>2.12E-2</v>
      </c>
      <c r="G51" s="540">
        <f t="shared" si="11"/>
        <v>36.58</v>
      </c>
      <c r="H51" s="75">
        <f t="shared" si="30"/>
        <v>472.93</v>
      </c>
      <c r="I51" s="77">
        <v>2.06E-2</v>
      </c>
      <c r="J51" s="79">
        <f t="shared" si="35"/>
        <v>3.8400000000000745</v>
      </c>
      <c r="K51" s="75">
        <f t="shared" si="12"/>
        <v>48.24</v>
      </c>
      <c r="L51" s="77">
        <v>1.9E-2</v>
      </c>
      <c r="M51" s="79">
        <f t="shared" si="36"/>
        <v>5</v>
      </c>
      <c r="N51" s="75">
        <f t="shared" si="6"/>
        <v>57.93</v>
      </c>
      <c r="O51" s="77">
        <v>1.9699999999999999E-2</v>
      </c>
      <c r="P51" s="79">
        <f t="shared" si="37"/>
        <v>4.5799999999999272</v>
      </c>
      <c r="Q51" s="75">
        <f t="shared" si="31"/>
        <v>55.02</v>
      </c>
      <c r="R51" s="77">
        <v>2.18E-2</v>
      </c>
      <c r="S51" s="79">
        <f t="shared" si="7"/>
        <v>2</v>
      </c>
      <c r="T51" s="75">
        <f t="shared" si="8"/>
        <v>26.59</v>
      </c>
      <c r="U51" s="75">
        <f t="shared" si="9"/>
        <v>660.70999999999992</v>
      </c>
      <c r="V51" s="186">
        <f t="shared" si="32"/>
        <v>-50.869999999999891</v>
      </c>
      <c r="W51" s="75">
        <f t="shared" si="10"/>
        <v>13.29</v>
      </c>
      <c r="Y51" s="181">
        <f t="shared" si="33"/>
        <v>44</v>
      </c>
      <c r="Z51" s="187">
        <f t="shared" si="34"/>
        <v>45</v>
      </c>
      <c r="AA51" s="187" t="str">
        <f t="shared" si="13"/>
        <v>error</v>
      </c>
    </row>
    <row r="52" spans="1:27">
      <c r="A52" s="35" t="s">
        <v>728</v>
      </c>
      <c r="B52" s="35" t="s">
        <v>138</v>
      </c>
      <c r="C52" s="48">
        <v>353</v>
      </c>
      <c r="D52" s="61">
        <v>1973</v>
      </c>
      <c r="E52" s="150">
        <v>316.68</v>
      </c>
      <c r="F52" s="77">
        <v>2.12E-2</v>
      </c>
      <c r="G52" s="540">
        <f t="shared" si="11"/>
        <v>35.58</v>
      </c>
      <c r="H52" s="75">
        <f t="shared" si="30"/>
        <v>238.87</v>
      </c>
      <c r="I52" s="77">
        <v>2.06E-2</v>
      </c>
      <c r="J52" s="79">
        <f t="shared" si="35"/>
        <v>3.8400000000000745</v>
      </c>
      <c r="K52" s="75">
        <f t="shared" si="12"/>
        <v>25.05</v>
      </c>
      <c r="L52" s="77">
        <v>1.9E-2</v>
      </c>
      <c r="M52" s="79">
        <f t="shared" si="36"/>
        <v>5</v>
      </c>
      <c r="N52" s="75">
        <f t="shared" si="6"/>
        <v>30.08</v>
      </c>
      <c r="O52" s="77">
        <v>1.9699999999999999E-2</v>
      </c>
      <c r="P52" s="79">
        <f t="shared" si="37"/>
        <v>4.5799999999999272</v>
      </c>
      <c r="Q52" s="75">
        <f t="shared" si="31"/>
        <v>28.57</v>
      </c>
      <c r="R52" s="77">
        <v>2.18E-2</v>
      </c>
      <c r="S52" s="79">
        <f t="shared" si="7"/>
        <v>2</v>
      </c>
      <c r="T52" s="75">
        <f t="shared" si="8"/>
        <v>13.81</v>
      </c>
      <c r="U52" s="75">
        <f t="shared" si="9"/>
        <v>336.38</v>
      </c>
      <c r="V52" s="186">
        <f t="shared" si="32"/>
        <v>-19.699999999999989</v>
      </c>
      <c r="W52" s="75">
        <f t="shared" si="10"/>
        <v>6.9</v>
      </c>
      <c r="Y52" s="181">
        <f t="shared" si="33"/>
        <v>43</v>
      </c>
      <c r="Z52" s="187">
        <f t="shared" si="34"/>
        <v>44</v>
      </c>
      <c r="AA52" s="187" t="str">
        <f t="shared" si="13"/>
        <v>error</v>
      </c>
    </row>
    <row r="53" spans="1:27">
      <c r="A53" s="35" t="s">
        <v>728</v>
      </c>
      <c r="B53" s="35" t="s">
        <v>138</v>
      </c>
      <c r="C53" s="48">
        <v>353</v>
      </c>
      <c r="D53" s="61">
        <v>1982</v>
      </c>
      <c r="E53" s="150">
        <v>32437.37</v>
      </c>
      <c r="F53" s="77">
        <v>2.12E-2</v>
      </c>
      <c r="G53" s="540">
        <f t="shared" si="11"/>
        <v>26.58</v>
      </c>
      <c r="H53" s="75">
        <f t="shared" si="30"/>
        <v>18278.330000000002</v>
      </c>
      <c r="I53" s="77">
        <v>2.06E-2</v>
      </c>
      <c r="J53" s="79">
        <f t="shared" si="35"/>
        <v>3.8400000000000745</v>
      </c>
      <c r="K53" s="75">
        <f t="shared" si="12"/>
        <v>2565.9299999999998</v>
      </c>
      <c r="L53" s="77">
        <v>1.9E-2</v>
      </c>
      <c r="M53" s="79">
        <f t="shared" si="36"/>
        <v>5</v>
      </c>
      <c r="N53" s="75">
        <f t="shared" si="6"/>
        <v>3081.55</v>
      </c>
      <c r="O53" s="77">
        <v>1.9699999999999999E-2</v>
      </c>
      <c r="P53" s="79">
        <f t="shared" si="37"/>
        <v>4.5799999999999272</v>
      </c>
      <c r="Q53" s="75">
        <f t="shared" si="31"/>
        <v>2926.69</v>
      </c>
      <c r="R53" s="77">
        <v>2.18E-2</v>
      </c>
      <c r="S53" s="79">
        <f t="shared" si="7"/>
        <v>2</v>
      </c>
      <c r="T53" s="75">
        <f t="shared" si="8"/>
        <v>1414.27</v>
      </c>
      <c r="U53" s="75">
        <f t="shared" si="9"/>
        <v>28266.77</v>
      </c>
      <c r="V53" s="186">
        <f t="shared" si="32"/>
        <v>4170.5999999999985</v>
      </c>
      <c r="W53" s="75">
        <f t="shared" si="10"/>
        <v>707.13</v>
      </c>
      <c r="Y53" s="181">
        <f t="shared" si="33"/>
        <v>34</v>
      </c>
      <c r="Z53" s="187">
        <f t="shared" si="34"/>
        <v>35</v>
      </c>
      <c r="AA53" s="187" t="str">
        <f t="shared" si="13"/>
        <v>error</v>
      </c>
    </row>
    <row r="54" spans="1:27">
      <c r="A54" s="35" t="s">
        <v>722</v>
      </c>
      <c r="B54" s="35" t="s">
        <v>139</v>
      </c>
      <c r="C54" s="48">
        <v>353</v>
      </c>
      <c r="D54" s="61">
        <v>1994</v>
      </c>
      <c r="E54" s="150">
        <v>432054.7</v>
      </c>
      <c r="F54" s="77">
        <v>2.12E-2</v>
      </c>
      <c r="G54" s="540">
        <f t="shared" si="11"/>
        <v>14.58</v>
      </c>
      <c r="H54" s="75">
        <f t="shared" si="30"/>
        <v>133546.38</v>
      </c>
      <c r="I54" s="77">
        <v>2.06E-2</v>
      </c>
      <c r="J54" s="79">
        <f t="shared" si="35"/>
        <v>3.8400000000000727</v>
      </c>
      <c r="K54" s="75">
        <f t="shared" si="12"/>
        <v>34177.25</v>
      </c>
      <c r="L54" s="77">
        <v>1.9E-2</v>
      </c>
      <c r="M54" s="79">
        <f t="shared" si="36"/>
        <v>5</v>
      </c>
      <c r="N54" s="75">
        <f t="shared" si="6"/>
        <v>41045.199999999997</v>
      </c>
      <c r="O54" s="77">
        <v>1.9699999999999999E-2</v>
      </c>
      <c r="P54" s="79">
        <f t="shared" si="37"/>
        <v>4.5799999999999255</v>
      </c>
      <c r="Q54" s="75">
        <f t="shared" si="31"/>
        <v>38982.57</v>
      </c>
      <c r="R54" s="77">
        <v>2.18E-2</v>
      </c>
      <c r="S54" s="79">
        <f t="shared" si="7"/>
        <v>2</v>
      </c>
      <c r="T54" s="75">
        <f t="shared" si="8"/>
        <v>18837.580000000002</v>
      </c>
      <c r="U54" s="75">
        <f t="shared" si="9"/>
        <v>266588.98000000004</v>
      </c>
      <c r="V54" s="186">
        <f t="shared" si="32"/>
        <v>165465.71999999997</v>
      </c>
      <c r="W54" s="75">
        <f t="shared" si="10"/>
        <v>9418.7900000000009</v>
      </c>
      <c r="Y54" s="181">
        <f t="shared" si="33"/>
        <v>22</v>
      </c>
      <c r="Z54" s="187">
        <f t="shared" si="34"/>
        <v>23</v>
      </c>
      <c r="AA54" s="187" t="str">
        <f t="shared" si="13"/>
        <v>error</v>
      </c>
    </row>
    <row r="55" spans="1:27">
      <c r="A55" s="35" t="s">
        <v>722</v>
      </c>
      <c r="B55" s="35" t="s">
        <v>139</v>
      </c>
      <c r="C55" s="48">
        <v>353</v>
      </c>
      <c r="D55" s="61">
        <v>1999</v>
      </c>
      <c r="E55" s="150">
        <v>3.04</v>
      </c>
      <c r="F55" s="77">
        <v>2.12E-2</v>
      </c>
      <c r="G55" s="540">
        <f t="shared" si="11"/>
        <v>9.58</v>
      </c>
      <c r="H55" s="75">
        <f>ROUND(E55*G55*F55,2)</f>
        <v>0.62</v>
      </c>
      <c r="I55" s="77">
        <v>2.06E-2</v>
      </c>
      <c r="J55" s="79">
        <f t="shared" si="35"/>
        <v>3.8400000000000727</v>
      </c>
      <c r="K55" s="75">
        <f t="shared" si="12"/>
        <v>0.24</v>
      </c>
      <c r="L55" s="77">
        <v>1.9E-2</v>
      </c>
      <c r="M55" s="79">
        <f t="shared" si="36"/>
        <v>5</v>
      </c>
      <c r="N55" s="75">
        <f t="shared" si="6"/>
        <v>0.28999999999999998</v>
      </c>
      <c r="O55" s="77">
        <v>1.9699999999999999E-2</v>
      </c>
      <c r="P55" s="79">
        <f t="shared" si="37"/>
        <v>4.5799999999999255</v>
      </c>
      <c r="Q55" s="75">
        <f t="shared" si="31"/>
        <v>0.27</v>
      </c>
      <c r="R55" s="77">
        <v>2.18E-2</v>
      </c>
      <c r="S55" s="79">
        <f t="shared" si="7"/>
        <v>2</v>
      </c>
      <c r="T55" s="75">
        <f t="shared" si="8"/>
        <v>0.13</v>
      </c>
      <c r="U55" s="75">
        <f t="shared" si="9"/>
        <v>1.5499999999999998</v>
      </c>
      <c r="V55" s="186">
        <f t="shared" si="32"/>
        <v>1.4900000000000002</v>
      </c>
      <c r="W55" s="75">
        <f t="shared" si="10"/>
        <v>7.0000000000000007E-2</v>
      </c>
      <c r="Y55" s="181">
        <f t="shared" si="33"/>
        <v>17</v>
      </c>
      <c r="Z55" s="187">
        <f t="shared" si="34"/>
        <v>18</v>
      </c>
      <c r="AA55" s="187" t="str">
        <f t="shared" si="13"/>
        <v>error</v>
      </c>
    </row>
    <row r="56" spans="1:27">
      <c r="A56" s="35" t="s">
        <v>722</v>
      </c>
      <c r="B56" s="35" t="s">
        <v>139</v>
      </c>
      <c r="C56" s="48">
        <v>353</v>
      </c>
      <c r="D56" s="61">
        <v>2018</v>
      </c>
      <c r="E56" s="150">
        <v>39009.31</v>
      </c>
      <c r="F56" s="77">
        <v>2.12E-2</v>
      </c>
      <c r="G56" s="540">
        <f>IF((2008-D56)+0.58&lt;0, 0,(2008-D56)+0.58)</f>
        <v>0</v>
      </c>
      <c r="H56" s="75">
        <f>ROUND(E56*G56*F56,2)</f>
        <v>0</v>
      </c>
      <c r="I56" s="77">
        <v>2.06E-2</v>
      </c>
      <c r="J56" s="79">
        <v>0</v>
      </c>
      <c r="K56" s="75">
        <f>ROUND(E56*J56*I56,2)</f>
        <v>0</v>
      </c>
      <c r="L56" s="77">
        <v>1.9E-2</v>
      </c>
      <c r="M56" s="79">
        <f t="shared" si="36"/>
        <v>0</v>
      </c>
      <c r="N56" s="75">
        <f>ROUND(E56*L56*M56,2)</f>
        <v>0</v>
      </c>
      <c r="O56" s="77">
        <v>1.9699999999999999E-2</v>
      </c>
      <c r="P56" s="79">
        <f>IF(J56=0,(2021+1-D56)-J56-G56-M56,(2021+1-D56)-J56-G56-M56)</f>
        <v>4</v>
      </c>
      <c r="Q56" s="75">
        <f t="shared" si="31"/>
        <v>3073.93</v>
      </c>
      <c r="R56" s="77">
        <v>2.18E-2</v>
      </c>
      <c r="S56" s="79">
        <f t="shared" si="7"/>
        <v>2</v>
      </c>
      <c r="T56" s="75">
        <f t="shared" si="8"/>
        <v>1700.81</v>
      </c>
      <c r="U56" s="75">
        <f t="shared" si="9"/>
        <v>4774.74</v>
      </c>
      <c r="V56" s="186">
        <f t="shared" si="32"/>
        <v>34234.57</v>
      </c>
      <c r="W56" s="75">
        <f t="shared" si="10"/>
        <v>850.4</v>
      </c>
      <c r="Y56" s="181">
        <f t="shared" si="33"/>
        <v>-2</v>
      </c>
      <c r="Z56" s="187">
        <f t="shared" si="34"/>
        <v>4</v>
      </c>
      <c r="AA56" s="187" t="str">
        <f>IF(Y56-Z56=0, "ok","error")</f>
        <v>error</v>
      </c>
    </row>
    <row r="57" spans="1:27">
      <c r="A57" s="35" t="s">
        <v>736</v>
      </c>
      <c r="B57" s="35" t="s">
        <v>140</v>
      </c>
      <c r="C57" s="48">
        <v>353</v>
      </c>
      <c r="D57" s="61">
        <v>1949</v>
      </c>
      <c r="E57" s="150">
        <v>39458.78</v>
      </c>
      <c r="F57" s="77">
        <v>2.12E-2</v>
      </c>
      <c r="G57" s="540">
        <f t="shared" si="11"/>
        <v>59.58</v>
      </c>
      <c r="H57" s="75">
        <f>ROUND(E57*G57*F57,2)</f>
        <v>49840.23</v>
      </c>
      <c r="I57" s="77">
        <v>2.06E-2</v>
      </c>
      <c r="J57" s="79">
        <f t="shared" ref="J57:J72" si="38">IF(G57=0,IF($J$98=D57,$J$98-D57+0.42,($J$98+0.42-D57)-G57),$J$98+0.42-D57)-G57</f>
        <v>3.8400000000000745</v>
      </c>
      <c r="K57" s="75">
        <f t="shared" si="12"/>
        <v>3121.35</v>
      </c>
      <c r="L57" s="77">
        <v>1.9E-2</v>
      </c>
      <c r="M57" s="79">
        <f t="shared" si="36"/>
        <v>5</v>
      </c>
      <c r="N57" s="75">
        <f t="shared" si="6"/>
        <v>3748.58</v>
      </c>
      <c r="O57" s="77">
        <v>1.9699999999999999E-2</v>
      </c>
      <c r="P57" s="79">
        <f t="shared" ref="P57:P77" si="39">IF(J57=0,(2021+1.58-D57)-J57-G57-M57,(2021+1-D57)-J57-G57-M57)</f>
        <v>4.5799999999999272</v>
      </c>
      <c r="Q57" s="75">
        <f t="shared" si="31"/>
        <v>3560.21</v>
      </c>
      <c r="R57" s="77">
        <v>2.18E-2</v>
      </c>
      <c r="S57" s="79">
        <f t="shared" si="7"/>
        <v>2</v>
      </c>
      <c r="T57" s="75">
        <f t="shared" si="8"/>
        <v>1720.4</v>
      </c>
      <c r="U57" s="75">
        <f t="shared" si="9"/>
        <v>61990.770000000004</v>
      </c>
      <c r="V57" s="186">
        <f t="shared" si="32"/>
        <v>-22531.990000000005</v>
      </c>
      <c r="W57" s="75">
        <f t="shared" si="10"/>
        <v>860.2</v>
      </c>
      <c r="Y57" s="181">
        <f t="shared" si="33"/>
        <v>67</v>
      </c>
      <c r="Z57" s="187">
        <f t="shared" si="34"/>
        <v>68</v>
      </c>
      <c r="AA57" s="187" t="str">
        <f t="shared" si="13"/>
        <v>error</v>
      </c>
    </row>
    <row r="58" spans="1:27">
      <c r="A58" s="35" t="s">
        <v>723</v>
      </c>
      <c r="B58" s="35" t="s">
        <v>141</v>
      </c>
      <c r="C58" s="48">
        <v>353</v>
      </c>
      <c r="D58" s="61">
        <v>1995</v>
      </c>
      <c r="E58" s="150">
        <v>430708.27</v>
      </c>
      <c r="F58" s="77">
        <v>2.12E-2</v>
      </c>
      <c r="G58" s="540">
        <f t="shared" si="11"/>
        <v>13.58</v>
      </c>
      <c r="H58" s="75">
        <f t="shared" ref="H58:H65" si="40">ROUND(E58*G58*F58,2)</f>
        <v>123999.19</v>
      </c>
      <c r="I58" s="77">
        <v>2.06E-2</v>
      </c>
      <c r="J58" s="79">
        <f t="shared" si="38"/>
        <v>3.8400000000000727</v>
      </c>
      <c r="K58" s="75">
        <f t="shared" si="12"/>
        <v>34070.75</v>
      </c>
      <c r="L58" s="77">
        <v>1.9E-2</v>
      </c>
      <c r="M58" s="79">
        <f t="shared" si="36"/>
        <v>5</v>
      </c>
      <c r="N58" s="75">
        <f t="shared" si="6"/>
        <v>40917.29</v>
      </c>
      <c r="O58" s="77">
        <v>1.9699999999999999E-2</v>
      </c>
      <c r="P58" s="79">
        <f t="shared" si="39"/>
        <v>4.5799999999999255</v>
      </c>
      <c r="Q58" s="75">
        <f t="shared" si="31"/>
        <v>38861.08</v>
      </c>
      <c r="R58" s="77">
        <v>2.18E-2</v>
      </c>
      <c r="S58" s="79">
        <f t="shared" si="7"/>
        <v>2</v>
      </c>
      <c r="T58" s="75">
        <f t="shared" si="8"/>
        <v>18778.88</v>
      </c>
      <c r="U58" s="75">
        <f t="shared" si="9"/>
        <v>256627.19</v>
      </c>
      <c r="V58" s="186">
        <f t="shared" si="32"/>
        <v>174081.08000000002</v>
      </c>
      <c r="W58" s="75">
        <f t="shared" si="10"/>
        <v>9389.44</v>
      </c>
      <c r="Y58" s="181">
        <f t="shared" si="33"/>
        <v>21</v>
      </c>
      <c r="Z58" s="187">
        <f t="shared" si="34"/>
        <v>22</v>
      </c>
      <c r="AA58" s="187" t="str">
        <f t="shared" si="13"/>
        <v>error</v>
      </c>
    </row>
    <row r="59" spans="1:27">
      <c r="A59" s="35" t="s">
        <v>733</v>
      </c>
      <c r="B59" s="35" t="s">
        <v>142</v>
      </c>
      <c r="C59" s="48">
        <v>353</v>
      </c>
      <c r="D59" s="61">
        <v>1956</v>
      </c>
      <c r="E59" s="150">
        <v>36470.01</v>
      </c>
      <c r="F59" s="77">
        <v>2.12E-2</v>
      </c>
      <c r="G59" s="540">
        <f t="shared" si="11"/>
        <v>52.58</v>
      </c>
      <c r="H59" s="75">
        <f t="shared" si="40"/>
        <v>40652.97</v>
      </c>
      <c r="I59" s="77">
        <v>2.06E-2</v>
      </c>
      <c r="J59" s="79">
        <f t="shared" si="38"/>
        <v>3.8400000000000745</v>
      </c>
      <c r="K59" s="75">
        <f t="shared" si="12"/>
        <v>2884.92</v>
      </c>
      <c r="L59" s="77">
        <v>1.9E-2</v>
      </c>
      <c r="M59" s="79">
        <f t="shared" si="36"/>
        <v>5</v>
      </c>
      <c r="N59" s="75">
        <f t="shared" si="6"/>
        <v>3464.65</v>
      </c>
      <c r="O59" s="77">
        <v>1.9699999999999999E-2</v>
      </c>
      <c r="P59" s="79">
        <f t="shared" si="39"/>
        <v>4.5799999999999272</v>
      </c>
      <c r="Q59" s="75">
        <f t="shared" si="31"/>
        <v>3290.54</v>
      </c>
      <c r="R59" s="77">
        <v>2.18E-2</v>
      </c>
      <c r="S59" s="79">
        <f t="shared" si="7"/>
        <v>2</v>
      </c>
      <c r="T59" s="75">
        <f t="shared" si="8"/>
        <v>1590.09</v>
      </c>
      <c r="U59" s="75">
        <f t="shared" si="9"/>
        <v>51883.17</v>
      </c>
      <c r="V59" s="186">
        <f t="shared" si="32"/>
        <v>-15413.159999999996</v>
      </c>
      <c r="W59" s="75">
        <f t="shared" si="10"/>
        <v>795.05</v>
      </c>
      <c r="Y59" s="181">
        <f t="shared" si="33"/>
        <v>60</v>
      </c>
      <c r="Z59" s="187">
        <f t="shared" si="34"/>
        <v>61</v>
      </c>
      <c r="AA59" s="187" t="str">
        <f t="shared" si="13"/>
        <v>error</v>
      </c>
    </row>
    <row r="60" spans="1:27">
      <c r="A60" s="35" t="s">
        <v>726</v>
      </c>
      <c r="B60" s="35" t="s">
        <v>143</v>
      </c>
      <c r="C60" s="48">
        <v>353</v>
      </c>
      <c r="D60" s="61">
        <v>1948</v>
      </c>
      <c r="E60" s="150">
        <v>31129.21</v>
      </c>
      <c r="F60" s="77">
        <v>2.12E-2</v>
      </c>
      <c r="G60" s="540">
        <f t="shared" si="11"/>
        <v>60.58</v>
      </c>
      <c r="H60" s="75">
        <f t="shared" si="40"/>
        <v>39979.120000000003</v>
      </c>
      <c r="I60" s="77">
        <v>2.06E-2</v>
      </c>
      <c r="J60" s="79">
        <f t="shared" si="38"/>
        <v>3.8400000000000745</v>
      </c>
      <c r="K60" s="75">
        <f t="shared" si="12"/>
        <v>2462.4499999999998</v>
      </c>
      <c r="L60" s="77">
        <v>1.9E-2</v>
      </c>
      <c r="M60" s="79">
        <f t="shared" si="36"/>
        <v>5</v>
      </c>
      <c r="N60" s="75">
        <f t="shared" si="6"/>
        <v>2957.27</v>
      </c>
      <c r="O60" s="77">
        <v>1.9699999999999999E-2</v>
      </c>
      <c r="P60" s="79">
        <f t="shared" si="39"/>
        <v>4.5799999999999272</v>
      </c>
      <c r="Q60" s="75">
        <f t="shared" si="31"/>
        <v>2808.66</v>
      </c>
      <c r="R60" s="77">
        <v>2.18E-2</v>
      </c>
      <c r="S60" s="79">
        <f t="shared" si="7"/>
        <v>2</v>
      </c>
      <c r="T60" s="75">
        <f t="shared" si="8"/>
        <v>1357.23</v>
      </c>
      <c r="U60" s="75">
        <f t="shared" si="9"/>
        <v>49564.73</v>
      </c>
      <c r="V60" s="186">
        <f t="shared" si="32"/>
        <v>-18435.520000000004</v>
      </c>
      <c r="W60" s="75">
        <f t="shared" si="10"/>
        <v>678.62</v>
      </c>
      <c r="Y60" s="181">
        <f t="shared" si="33"/>
        <v>68</v>
      </c>
      <c r="Z60" s="187">
        <f t="shared" si="34"/>
        <v>69</v>
      </c>
      <c r="AA60" s="187" t="str">
        <f t="shared" si="13"/>
        <v>error</v>
      </c>
    </row>
    <row r="61" spans="1:27">
      <c r="A61" s="35" t="s">
        <v>726</v>
      </c>
      <c r="B61" s="35" t="s">
        <v>143</v>
      </c>
      <c r="C61" s="48">
        <v>353</v>
      </c>
      <c r="D61" s="61">
        <v>1987</v>
      </c>
      <c r="E61" s="150">
        <v>2109.16</v>
      </c>
      <c r="F61" s="77">
        <v>2.12E-2</v>
      </c>
      <c r="G61" s="540">
        <f t="shared" si="11"/>
        <v>21.58</v>
      </c>
      <c r="H61" s="75">
        <f t="shared" si="40"/>
        <v>964.93</v>
      </c>
      <c r="I61" s="77">
        <v>2.06E-2</v>
      </c>
      <c r="J61" s="79">
        <f t="shared" si="38"/>
        <v>3.8400000000000745</v>
      </c>
      <c r="K61" s="75">
        <f t="shared" si="12"/>
        <v>166.84</v>
      </c>
      <c r="L61" s="77">
        <v>1.9E-2</v>
      </c>
      <c r="M61" s="79">
        <f t="shared" si="36"/>
        <v>5</v>
      </c>
      <c r="N61" s="75">
        <f t="shared" si="6"/>
        <v>200.37</v>
      </c>
      <c r="O61" s="77">
        <v>1.9699999999999999E-2</v>
      </c>
      <c r="P61" s="79">
        <f t="shared" si="39"/>
        <v>4.5799999999999272</v>
      </c>
      <c r="Q61" s="75">
        <f t="shared" si="31"/>
        <v>190.3</v>
      </c>
      <c r="R61" s="77">
        <v>2.18E-2</v>
      </c>
      <c r="S61" s="79">
        <f t="shared" si="7"/>
        <v>2</v>
      </c>
      <c r="T61" s="75">
        <f t="shared" si="8"/>
        <v>91.96</v>
      </c>
      <c r="U61" s="75">
        <f t="shared" si="9"/>
        <v>1614.3999999999999</v>
      </c>
      <c r="V61" s="186">
        <f t="shared" si="32"/>
        <v>494.76</v>
      </c>
      <c r="W61" s="75">
        <f t="shared" si="10"/>
        <v>45.98</v>
      </c>
      <c r="Y61" s="181">
        <f t="shared" si="33"/>
        <v>29</v>
      </c>
      <c r="Z61" s="187">
        <f t="shared" si="34"/>
        <v>30</v>
      </c>
      <c r="AA61" s="187" t="str">
        <f t="shared" si="13"/>
        <v>error</v>
      </c>
    </row>
    <row r="62" spans="1:27">
      <c r="A62" s="35" t="s">
        <v>726</v>
      </c>
      <c r="B62" s="35" t="s">
        <v>143</v>
      </c>
      <c r="C62" s="48">
        <v>353</v>
      </c>
      <c r="D62" s="61">
        <v>1988</v>
      </c>
      <c r="E62" s="150">
        <v>278.93</v>
      </c>
      <c r="F62" s="77">
        <v>2.12E-2</v>
      </c>
      <c r="G62" s="540">
        <f t="shared" si="11"/>
        <v>20.58</v>
      </c>
      <c r="H62" s="75">
        <f t="shared" si="40"/>
        <v>121.7</v>
      </c>
      <c r="I62" s="77">
        <v>2.06E-2</v>
      </c>
      <c r="J62" s="79">
        <f t="shared" si="38"/>
        <v>3.8400000000000745</v>
      </c>
      <c r="K62" s="75">
        <f t="shared" si="12"/>
        <v>22.06</v>
      </c>
      <c r="L62" s="77">
        <v>1.9E-2</v>
      </c>
      <c r="M62" s="79">
        <f t="shared" si="36"/>
        <v>5</v>
      </c>
      <c r="N62" s="75">
        <f t="shared" si="6"/>
        <v>26.5</v>
      </c>
      <c r="O62" s="77">
        <v>1.9699999999999999E-2</v>
      </c>
      <c r="P62" s="79">
        <f t="shared" si="39"/>
        <v>4.5799999999999272</v>
      </c>
      <c r="Q62" s="75">
        <f t="shared" si="31"/>
        <v>25.17</v>
      </c>
      <c r="R62" s="77">
        <v>2.18E-2</v>
      </c>
      <c r="S62" s="79">
        <f t="shared" si="7"/>
        <v>2</v>
      </c>
      <c r="T62" s="75">
        <f t="shared" si="8"/>
        <v>12.16</v>
      </c>
      <c r="U62" s="75">
        <f t="shared" si="9"/>
        <v>207.59</v>
      </c>
      <c r="V62" s="186">
        <f t="shared" si="32"/>
        <v>71.34</v>
      </c>
      <c r="W62" s="75">
        <f t="shared" si="10"/>
        <v>6.08</v>
      </c>
      <c r="Y62" s="181">
        <f t="shared" si="33"/>
        <v>28</v>
      </c>
      <c r="Z62" s="187">
        <f t="shared" si="34"/>
        <v>29</v>
      </c>
      <c r="AA62" s="187" t="str">
        <f t="shared" si="13"/>
        <v>error</v>
      </c>
    </row>
    <row r="63" spans="1:27">
      <c r="A63" s="35" t="s">
        <v>734</v>
      </c>
      <c r="B63" s="35" t="s">
        <v>144</v>
      </c>
      <c r="C63" s="48">
        <v>353</v>
      </c>
      <c r="D63" s="61">
        <v>1937</v>
      </c>
      <c r="E63" s="150">
        <v>72167.73</v>
      </c>
      <c r="F63" s="77">
        <v>2.12E-2</v>
      </c>
      <c r="G63" s="540">
        <f t="shared" si="11"/>
        <v>71.58</v>
      </c>
      <c r="H63" s="75">
        <f t="shared" si="40"/>
        <v>109514.24000000001</v>
      </c>
      <c r="I63" s="77">
        <v>2.06E-2</v>
      </c>
      <c r="J63" s="79">
        <f t="shared" si="38"/>
        <v>3.8400000000000745</v>
      </c>
      <c r="K63" s="75">
        <f t="shared" si="12"/>
        <v>5708.76</v>
      </c>
      <c r="L63" s="77">
        <v>1.9E-2</v>
      </c>
      <c r="M63" s="79">
        <f t="shared" si="36"/>
        <v>5</v>
      </c>
      <c r="N63" s="75">
        <f t="shared" si="6"/>
        <v>6855.93</v>
      </c>
      <c r="O63" s="77">
        <v>1.9699999999999999E-2</v>
      </c>
      <c r="P63" s="79">
        <f t="shared" si="39"/>
        <v>4.5799999999999272</v>
      </c>
      <c r="Q63" s="75">
        <f t="shared" si="31"/>
        <v>6511.41</v>
      </c>
      <c r="R63" s="77">
        <v>2.18E-2</v>
      </c>
      <c r="S63" s="79">
        <f t="shared" si="7"/>
        <v>2</v>
      </c>
      <c r="T63" s="75">
        <f t="shared" si="8"/>
        <v>3146.51</v>
      </c>
      <c r="U63" s="75">
        <f t="shared" si="9"/>
        <v>131736.85</v>
      </c>
      <c r="V63" s="186">
        <f t="shared" si="32"/>
        <v>-59569.12000000001</v>
      </c>
      <c r="W63" s="75">
        <f t="shared" si="10"/>
        <v>1573.26</v>
      </c>
      <c r="Y63" s="181">
        <f t="shared" si="33"/>
        <v>79</v>
      </c>
      <c r="Z63" s="187">
        <f t="shared" si="34"/>
        <v>80</v>
      </c>
      <c r="AA63" s="187" t="str">
        <f t="shared" si="13"/>
        <v>error</v>
      </c>
    </row>
    <row r="64" spans="1:27">
      <c r="A64" s="35" t="s">
        <v>734</v>
      </c>
      <c r="B64" s="35" t="s">
        <v>144</v>
      </c>
      <c r="C64" s="48">
        <v>353</v>
      </c>
      <c r="D64" s="61">
        <v>1954</v>
      </c>
      <c r="E64" s="150">
        <v>418.06</v>
      </c>
      <c r="F64" s="77">
        <v>2.12E-2</v>
      </c>
      <c r="G64" s="540">
        <f t="shared" si="11"/>
        <v>54.58</v>
      </c>
      <c r="H64" s="75">
        <f>ROUND(E64*G64*F64,2)</f>
        <v>483.74</v>
      </c>
      <c r="I64" s="77">
        <v>2.06E-2</v>
      </c>
      <c r="J64" s="79">
        <f t="shared" si="38"/>
        <v>3.8400000000000745</v>
      </c>
      <c r="K64" s="75">
        <f t="shared" si="12"/>
        <v>33.07</v>
      </c>
      <c r="L64" s="77">
        <v>1.9E-2</v>
      </c>
      <c r="M64" s="79">
        <f t="shared" si="36"/>
        <v>5</v>
      </c>
      <c r="N64" s="75">
        <f t="shared" si="6"/>
        <v>39.72</v>
      </c>
      <c r="O64" s="77">
        <v>1.9699999999999999E-2</v>
      </c>
      <c r="P64" s="79">
        <f t="shared" si="39"/>
        <v>4.5799999999999272</v>
      </c>
      <c r="Q64" s="75">
        <f t="shared" si="31"/>
        <v>37.72</v>
      </c>
      <c r="R64" s="77">
        <v>2.18E-2</v>
      </c>
      <c r="S64" s="79">
        <f t="shared" si="7"/>
        <v>2</v>
      </c>
      <c r="T64" s="75">
        <f t="shared" si="8"/>
        <v>18.23</v>
      </c>
      <c r="U64" s="75">
        <f t="shared" si="9"/>
        <v>612.48000000000013</v>
      </c>
      <c r="V64" s="186">
        <f t="shared" si="32"/>
        <v>-194.42000000000013</v>
      </c>
      <c r="W64" s="75">
        <f t="shared" si="10"/>
        <v>9.11</v>
      </c>
      <c r="Y64" s="181">
        <f t="shared" si="33"/>
        <v>62</v>
      </c>
      <c r="Z64" s="187">
        <f t="shared" si="34"/>
        <v>63</v>
      </c>
      <c r="AA64" s="187" t="str">
        <f t="shared" si="13"/>
        <v>error</v>
      </c>
    </row>
    <row r="65" spans="1:27">
      <c r="A65" s="35" t="s">
        <v>737</v>
      </c>
      <c r="B65" s="35" t="s">
        <v>145</v>
      </c>
      <c r="C65" s="48">
        <v>353</v>
      </c>
      <c r="D65" s="61">
        <v>1947</v>
      </c>
      <c r="E65" s="150">
        <v>70392.59</v>
      </c>
      <c r="F65" s="77">
        <v>2.12E-2</v>
      </c>
      <c r="G65" s="540">
        <f t="shared" si="11"/>
        <v>61.58</v>
      </c>
      <c r="H65" s="75">
        <f t="shared" si="40"/>
        <v>91897.24</v>
      </c>
      <c r="I65" s="77">
        <v>2.06E-2</v>
      </c>
      <c r="J65" s="79">
        <f t="shared" si="38"/>
        <v>3.8400000000000745</v>
      </c>
      <c r="K65" s="75">
        <f t="shared" si="12"/>
        <v>5568.34</v>
      </c>
      <c r="L65" s="77">
        <v>1.9E-2</v>
      </c>
      <c r="M65" s="79">
        <f t="shared" si="36"/>
        <v>5</v>
      </c>
      <c r="N65" s="75">
        <f t="shared" si="6"/>
        <v>6687.3</v>
      </c>
      <c r="O65" s="77">
        <v>1.9699999999999999E-2</v>
      </c>
      <c r="P65" s="79">
        <f t="shared" si="39"/>
        <v>4.5799999999999272</v>
      </c>
      <c r="Q65" s="75">
        <f t="shared" si="31"/>
        <v>6351.24</v>
      </c>
      <c r="R65" s="77">
        <v>2.18E-2</v>
      </c>
      <c r="S65" s="79">
        <f t="shared" si="7"/>
        <v>2</v>
      </c>
      <c r="T65" s="75">
        <f t="shared" si="8"/>
        <v>3069.12</v>
      </c>
      <c r="U65" s="75">
        <f t="shared" si="9"/>
        <v>113573.24</v>
      </c>
      <c r="V65" s="186">
        <f t="shared" si="32"/>
        <v>-43180.650000000009</v>
      </c>
      <c r="W65" s="75">
        <f t="shared" si="10"/>
        <v>1534.56</v>
      </c>
      <c r="Y65" s="181">
        <f t="shared" si="33"/>
        <v>69</v>
      </c>
      <c r="Z65" s="187">
        <f t="shared" si="34"/>
        <v>70</v>
      </c>
      <c r="AA65" s="187" t="str">
        <f t="shared" si="13"/>
        <v>error</v>
      </c>
    </row>
    <row r="66" spans="1:27">
      <c r="A66" s="35"/>
      <c r="B66" s="35" t="s">
        <v>153</v>
      </c>
      <c r="C66" s="48">
        <v>353</v>
      </c>
      <c r="D66" s="61">
        <v>1976</v>
      </c>
      <c r="E66" s="150">
        <f>842488-533657.09-37722.28-2112.41</f>
        <v>268996.22000000003</v>
      </c>
      <c r="F66" s="77">
        <v>2.12E-2</v>
      </c>
      <c r="G66" s="540">
        <f t="shared" si="11"/>
        <v>32.58</v>
      </c>
      <c r="H66" s="75">
        <f t="shared" ref="H66:H82" si="41">ROUND(E66*G66*F66,2)</f>
        <v>185794.61</v>
      </c>
      <c r="I66" s="77">
        <v>2.06E-2</v>
      </c>
      <c r="J66" s="79">
        <f t="shared" si="38"/>
        <v>3.8400000000000745</v>
      </c>
      <c r="K66" s="75">
        <f t="shared" si="12"/>
        <v>21278.68</v>
      </c>
      <c r="L66" s="77">
        <v>1.9E-2</v>
      </c>
      <c r="M66" s="79">
        <f t="shared" si="36"/>
        <v>5</v>
      </c>
      <c r="N66" s="75">
        <f t="shared" si="6"/>
        <v>25554.639999999999</v>
      </c>
      <c r="O66" s="77">
        <v>1.9699999999999999E-2</v>
      </c>
      <c r="P66" s="79">
        <f t="shared" si="39"/>
        <v>4.5799999999999272</v>
      </c>
      <c r="Q66" s="75">
        <f t="shared" si="31"/>
        <v>24270.45</v>
      </c>
      <c r="R66" s="77">
        <v>4.7738000000000003E-2</v>
      </c>
      <c r="S66" s="79">
        <f t="shared" si="7"/>
        <v>2</v>
      </c>
      <c r="T66" s="75">
        <f t="shared" si="8"/>
        <v>25682.68</v>
      </c>
      <c r="U66" s="75">
        <f t="shared" si="9"/>
        <v>282581.06</v>
      </c>
      <c r="V66" s="186">
        <f t="shared" si="32"/>
        <v>-13584.839999999967</v>
      </c>
      <c r="W66" s="75">
        <f t="shared" si="10"/>
        <v>12841.34</v>
      </c>
      <c r="Y66" s="181">
        <f t="shared" si="33"/>
        <v>40</v>
      </c>
      <c r="Z66" s="187">
        <f t="shared" si="34"/>
        <v>41</v>
      </c>
      <c r="AA66" s="187" t="str">
        <f t="shared" si="13"/>
        <v>error</v>
      </c>
    </row>
    <row r="67" spans="1:27">
      <c r="A67" s="35"/>
      <c r="B67" s="35" t="s">
        <v>153</v>
      </c>
      <c r="C67" s="48">
        <v>353</v>
      </c>
      <c r="D67" s="61">
        <v>1990</v>
      </c>
      <c r="E67" s="150">
        <f>965852-14490.31-36852.2-4454.28-20654.44</f>
        <v>889400.77</v>
      </c>
      <c r="F67" s="77">
        <v>2.12E-2</v>
      </c>
      <c r="G67" s="540">
        <f t="shared" si="11"/>
        <v>18.579999999999998</v>
      </c>
      <c r="H67" s="75">
        <f t="shared" si="41"/>
        <v>350331.41</v>
      </c>
      <c r="I67" s="77">
        <v>2.06E-2</v>
      </c>
      <c r="J67" s="79">
        <f t="shared" si="38"/>
        <v>3.8400000000000745</v>
      </c>
      <c r="K67" s="75">
        <f t="shared" si="12"/>
        <v>70355.16</v>
      </c>
      <c r="L67" s="77">
        <v>1.9E-2</v>
      </c>
      <c r="M67" s="79">
        <f t="shared" si="36"/>
        <v>5</v>
      </c>
      <c r="N67" s="75">
        <f t="shared" si="6"/>
        <v>84493.07</v>
      </c>
      <c r="O67" s="77">
        <v>1.9699999999999999E-2</v>
      </c>
      <c r="P67" s="79">
        <f t="shared" si="39"/>
        <v>4.5799999999999272</v>
      </c>
      <c r="Q67" s="75">
        <f t="shared" si="31"/>
        <v>80247.070000000007</v>
      </c>
      <c r="R67" s="77">
        <v>4.7738000000000003E-2</v>
      </c>
      <c r="S67" s="79">
        <f t="shared" si="7"/>
        <v>2</v>
      </c>
      <c r="T67" s="75">
        <f t="shared" si="8"/>
        <v>84916.43</v>
      </c>
      <c r="U67" s="75">
        <f t="shared" si="9"/>
        <v>670343.1399999999</v>
      </c>
      <c r="V67" s="186">
        <f t="shared" si="32"/>
        <v>219057.63000000012</v>
      </c>
      <c r="W67" s="75">
        <f t="shared" si="10"/>
        <v>42458.21</v>
      </c>
      <c r="Y67" s="181">
        <f t="shared" si="33"/>
        <v>26</v>
      </c>
      <c r="Z67" s="187">
        <f t="shared" si="34"/>
        <v>27</v>
      </c>
      <c r="AA67" s="187" t="str">
        <f t="shared" si="13"/>
        <v>error</v>
      </c>
    </row>
    <row r="68" spans="1:27">
      <c r="A68" s="35"/>
      <c r="B68" s="35" t="s">
        <v>153</v>
      </c>
      <c r="C68" s="48">
        <v>353</v>
      </c>
      <c r="D68" s="61">
        <v>1995</v>
      </c>
      <c r="E68" s="150">
        <v>27259</v>
      </c>
      <c r="F68" s="77">
        <v>2.12E-2</v>
      </c>
      <c r="G68" s="540">
        <f t="shared" si="11"/>
        <v>13.58</v>
      </c>
      <c r="H68" s="75">
        <f t="shared" si="41"/>
        <v>7847.76</v>
      </c>
      <c r="I68" s="77">
        <v>2.06E-2</v>
      </c>
      <c r="J68" s="79">
        <f t="shared" si="38"/>
        <v>3.8400000000000727</v>
      </c>
      <c r="K68" s="75">
        <f t="shared" si="12"/>
        <v>2156.3000000000002</v>
      </c>
      <c r="L68" s="77">
        <v>1.9E-2</v>
      </c>
      <c r="M68" s="79">
        <f t="shared" si="36"/>
        <v>5</v>
      </c>
      <c r="N68" s="75">
        <f t="shared" si="6"/>
        <v>2589.61</v>
      </c>
      <c r="O68" s="77">
        <v>1.9699999999999999E-2</v>
      </c>
      <c r="P68" s="79">
        <f t="shared" si="39"/>
        <v>4.5799999999999255</v>
      </c>
      <c r="Q68" s="75">
        <f t="shared" si="31"/>
        <v>2459.4699999999998</v>
      </c>
      <c r="R68" s="77">
        <v>4.7738000000000003E-2</v>
      </c>
      <c r="S68" s="79">
        <f t="shared" si="7"/>
        <v>2</v>
      </c>
      <c r="T68" s="75">
        <f t="shared" si="8"/>
        <v>2602.58</v>
      </c>
      <c r="U68" s="75">
        <f t="shared" si="9"/>
        <v>17655.72</v>
      </c>
      <c r="V68" s="186">
        <f t="shared" si="32"/>
        <v>9603.2799999999988</v>
      </c>
      <c r="W68" s="75">
        <f t="shared" si="10"/>
        <v>1301.29</v>
      </c>
      <c r="Y68" s="181">
        <f t="shared" si="33"/>
        <v>21</v>
      </c>
      <c r="Z68" s="187">
        <f t="shared" si="34"/>
        <v>22</v>
      </c>
      <c r="AA68" s="187" t="str">
        <f t="shared" si="13"/>
        <v>error</v>
      </c>
    </row>
    <row r="69" spans="1:27">
      <c r="A69" s="35"/>
      <c r="B69" s="35" t="s">
        <v>153</v>
      </c>
      <c r="C69" s="48">
        <v>353</v>
      </c>
      <c r="D69" s="61">
        <v>1996</v>
      </c>
      <c r="E69" s="150">
        <v>45684</v>
      </c>
      <c r="F69" s="77">
        <v>2.12E-2</v>
      </c>
      <c r="G69" s="540">
        <f t="shared" si="11"/>
        <v>12.58</v>
      </c>
      <c r="H69" s="75">
        <f t="shared" si="41"/>
        <v>12183.74</v>
      </c>
      <c r="I69" s="77">
        <v>2.06E-2</v>
      </c>
      <c r="J69" s="79">
        <f t="shared" si="38"/>
        <v>3.8400000000000727</v>
      </c>
      <c r="K69" s="75">
        <f t="shared" si="12"/>
        <v>3613.79</v>
      </c>
      <c r="L69" s="77">
        <v>1.9E-2</v>
      </c>
      <c r="M69" s="79">
        <f t="shared" si="36"/>
        <v>5</v>
      </c>
      <c r="N69" s="75">
        <f t="shared" si="6"/>
        <v>4339.9799999999996</v>
      </c>
      <c r="O69" s="77">
        <v>1.9699999999999999E-2</v>
      </c>
      <c r="P69" s="79">
        <f t="shared" si="39"/>
        <v>4.5799999999999255</v>
      </c>
      <c r="Q69" s="75">
        <f t="shared" si="31"/>
        <v>4121.88</v>
      </c>
      <c r="R69" s="77">
        <v>4.7738000000000003E-2</v>
      </c>
      <c r="S69" s="79">
        <f t="shared" si="7"/>
        <v>2</v>
      </c>
      <c r="T69" s="75">
        <f t="shared" si="8"/>
        <v>4361.7299999999996</v>
      </c>
      <c r="U69" s="75">
        <f t="shared" si="9"/>
        <v>28621.119999999999</v>
      </c>
      <c r="V69" s="186">
        <f t="shared" si="32"/>
        <v>17062.88</v>
      </c>
      <c r="W69" s="75">
        <f t="shared" si="10"/>
        <v>2180.86</v>
      </c>
      <c r="Y69" s="181">
        <f t="shared" si="33"/>
        <v>20</v>
      </c>
      <c r="Z69" s="187">
        <f t="shared" si="34"/>
        <v>21</v>
      </c>
      <c r="AA69" s="187" t="str">
        <f t="shared" si="13"/>
        <v>error</v>
      </c>
    </row>
    <row r="70" spans="1:27">
      <c r="A70" s="35"/>
      <c r="B70" s="35" t="s">
        <v>153</v>
      </c>
      <c r="C70" s="48">
        <f>C69</f>
        <v>353</v>
      </c>
      <c r="D70" s="61">
        <v>2000</v>
      </c>
      <c r="E70" s="150">
        <f>972906-21113.83</f>
        <v>951792.17</v>
      </c>
      <c r="F70" s="77">
        <v>2.12E-2</v>
      </c>
      <c r="G70" s="540">
        <f t="shared" si="11"/>
        <v>8.58</v>
      </c>
      <c r="H70" s="75">
        <f t="shared" si="41"/>
        <v>173127.19</v>
      </c>
      <c r="I70" s="77">
        <v>2.06E-2</v>
      </c>
      <c r="J70" s="79">
        <f t="shared" si="38"/>
        <v>3.8400000000000727</v>
      </c>
      <c r="K70" s="75">
        <f t="shared" si="12"/>
        <v>75290.570000000007</v>
      </c>
      <c r="L70" s="77">
        <v>1.9E-2</v>
      </c>
      <c r="M70" s="79">
        <f t="shared" si="36"/>
        <v>5</v>
      </c>
      <c r="N70" s="75">
        <f t="shared" si="6"/>
        <v>90420.26</v>
      </c>
      <c r="O70" s="77">
        <v>1.9699999999999999E-2</v>
      </c>
      <c r="P70" s="79">
        <f t="shared" si="39"/>
        <v>4.5799999999999255</v>
      </c>
      <c r="Q70" s="75">
        <f t="shared" si="31"/>
        <v>85876.4</v>
      </c>
      <c r="R70" s="77">
        <v>4.7738000000000003E-2</v>
      </c>
      <c r="S70" s="79">
        <f t="shared" si="7"/>
        <v>2</v>
      </c>
      <c r="T70" s="75">
        <f t="shared" si="8"/>
        <v>90873.31</v>
      </c>
      <c r="U70" s="75">
        <f t="shared" si="9"/>
        <v>515587.73000000004</v>
      </c>
      <c r="V70" s="186">
        <f t="shared" si="32"/>
        <v>436204.44</v>
      </c>
      <c r="W70" s="75">
        <f t="shared" si="10"/>
        <v>45436.65</v>
      </c>
      <c r="Y70" s="181">
        <f t="shared" si="33"/>
        <v>16</v>
      </c>
      <c r="Z70" s="187">
        <f t="shared" si="34"/>
        <v>17</v>
      </c>
      <c r="AA70" s="187" t="str">
        <f t="shared" si="13"/>
        <v>error</v>
      </c>
    </row>
    <row r="71" spans="1:27">
      <c r="A71" s="35"/>
      <c r="B71" s="35" t="s">
        <v>153</v>
      </c>
      <c r="C71" s="48">
        <v>353</v>
      </c>
      <c r="D71" s="61">
        <v>2008</v>
      </c>
      <c r="E71" s="150">
        <f>29415.43+73352.25-12225.38</f>
        <v>90542.299999999988</v>
      </c>
      <c r="F71" s="77">
        <v>2.12E-2</v>
      </c>
      <c r="G71" s="540">
        <f t="shared" si="11"/>
        <v>0.57999999999999996</v>
      </c>
      <c r="H71" s="75">
        <f t="shared" si="41"/>
        <v>1113.31</v>
      </c>
      <c r="I71" s="77">
        <v>2.06E-2</v>
      </c>
      <c r="J71" s="79">
        <f t="shared" si="38"/>
        <v>3.8400000000000727</v>
      </c>
      <c r="K71" s="75">
        <f t="shared" si="12"/>
        <v>7162.26</v>
      </c>
      <c r="L71" s="77">
        <v>1.9E-2</v>
      </c>
      <c r="M71" s="79">
        <f t="shared" si="36"/>
        <v>5</v>
      </c>
      <c r="N71" s="75">
        <f t="shared" si="6"/>
        <v>8601.52</v>
      </c>
      <c r="O71" s="77">
        <v>1.9699999999999999E-2</v>
      </c>
      <c r="P71" s="79">
        <f t="shared" si="39"/>
        <v>4.5799999999999272</v>
      </c>
      <c r="Q71" s="75">
        <f t="shared" si="31"/>
        <v>8169.27</v>
      </c>
      <c r="R71" s="77">
        <v>4.7738000000000003E-2</v>
      </c>
      <c r="S71" s="79">
        <f t="shared" si="7"/>
        <v>2</v>
      </c>
      <c r="T71" s="75">
        <f t="shared" si="8"/>
        <v>8644.6200000000008</v>
      </c>
      <c r="U71" s="75">
        <f t="shared" si="9"/>
        <v>33690.980000000003</v>
      </c>
      <c r="V71" s="186">
        <f t="shared" si="32"/>
        <v>56851.319999999985</v>
      </c>
      <c r="W71" s="75">
        <f t="shared" si="10"/>
        <v>4322.3100000000004</v>
      </c>
      <c r="Y71" s="181">
        <f t="shared" si="33"/>
        <v>8</v>
      </c>
      <c r="Z71" s="187">
        <f t="shared" si="34"/>
        <v>9</v>
      </c>
      <c r="AA71" s="187" t="str">
        <f t="shared" ref="AA71:AA82" si="42">IF(Y71-Z71=0, "ok","error")</f>
        <v>error</v>
      </c>
    </row>
    <row r="72" spans="1:27">
      <c r="A72" s="35"/>
      <c r="B72" s="35" t="s">
        <v>153</v>
      </c>
      <c r="C72" s="48">
        <v>353</v>
      </c>
      <c r="D72" s="61">
        <v>2011</v>
      </c>
      <c r="E72" s="150">
        <f>482673.57-78424.03</f>
        <v>404249.54000000004</v>
      </c>
      <c r="F72" s="77">
        <v>2.12E-2</v>
      </c>
      <c r="G72" s="540">
        <f t="shared" si="11"/>
        <v>0</v>
      </c>
      <c r="H72" s="75">
        <f t="shared" si="41"/>
        <v>0</v>
      </c>
      <c r="I72" s="77">
        <v>2.06E-2</v>
      </c>
      <c r="J72" s="79">
        <f t="shared" si="38"/>
        <v>1.4200000000000728</v>
      </c>
      <c r="K72" s="75">
        <f t="shared" ref="K72:K82" si="43">ROUND(E72*J72*I72,2)</f>
        <v>11825.11</v>
      </c>
      <c r="L72" s="77">
        <v>1.9E-2</v>
      </c>
      <c r="M72" s="79">
        <f t="shared" si="36"/>
        <v>5</v>
      </c>
      <c r="N72" s="75">
        <f t="shared" si="6"/>
        <v>38403.71</v>
      </c>
      <c r="O72" s="77">
        <v>1.9699999999999999E-2</v>
      </c>
      <c r="P72" s="79">
        <f t="shared" si="39"/>
        <v>4.5799999999999272</v>
      </c>
      <c r="Q72" s="75">
        <f t="shared" si="31"/>
        <v>36473.82</v>
      </c>
      <c r="R72" s="77">
        <v>4.7738000000000003E-2</v>
      </c>
      <c r="S72" s="79">
        <f t="shared" si="7"/>
        <v>2</v>
      </c>
      <c r="T72" s="75">
        <f t="shared" si="8"/>
        <v>38596.129999999997</v>
      </c>
      <c r="U72" s="75">
        <f t="shared" si="9"/>
        <v>125298.76999999999</v>
      </c>
      <c r="V72" s="186">
        <f t="shared" si="32"/>
        <v>278950.77</v>
      </c>
      <c r="W72" s="75">
        <f t="shared" si="10"/>
        <v>19298.060000000001</v>
      </c>
      <c r="Y72" s="181">
        <f t="shared" si="33"/>
        <v>5</v>
      </c>
      <c r="Z72" s="187">
        <f t="shared" si="34"/>
        <v>6</v>
      </c>
      <c r="AA72" s="187" t="str">
        <f t="shared" si="42"/>
        <v>error</v>
      </c>
    </row>
    <row r="73" spans="1:27">
      <c r="A73" s="35"/>
      <c r="B73" s="35" t="s">
        <v>153</v>
      </c>
      <c r="C73" s="48">
        <v>353</v>
      </c>
      <c r="D73" s="61">
        <v>2013</v>
      </c>
      <c r="E73" s="150">
        <v>20629.744999999999</v>
      </c>
      <c r="F73" s="77">
        <v>2.12E-2</v>
      </c>
      <c r="G73" s="540">
        <f t="shared" si="11"/>
        <v>0</v>
      </c>
      <c r="H73" s="75">
        <f t="shared" si="41"/>
        <v>0</v>
      </c>
      <c r="I73" s="77">
        <v>2.06E-2</v>
      </c>
      <c r="J73" s="79">
        <v>0</v>
      </c>
      <c r="K73" s="75">
        <f t="shared" si="43"/>
        <v>0</v>
      </c>
      <c r="L73" s="77">
        <v>1.9E-2</v>
      </c>
      <c r="M73" s="79">
        <f t="shared" si="36"/>
        <v>5</v>
      </c>
      <c r="N73" s="75">
        <f t="shared" si="6"/>
        <v>1959.83</v>
      </c>
      <c r="O73" s="77">
        <v>1.9699999999999999E-2</v>
      </c>
      <c r="P73" s="79">
        <f t="shared" si="39"/>
        <v>4.5799999999999272</v>
      </c>
      <c r="Q73" s="75">
        <f t="shared" si="31"/>
        <v>1861.34</v>
      </c>
      <c r="R73" s="77">
        <v>4.7738000000000003E-2</v>
      </c>
      <c r="S73" s="79">
        <f t="shared" si="7"/>
        <v>2</v>
      </c>
      <c r="T73" s="75">
        <f t="shared" si="8"/>
        <v>1969.65</v>
      </c>
      <c r="U73" s="75">
        <f t="shared" si="9"/>
        <v>5790.82</v>
      </c>
      <c r="V73" s="186">
        <f t="shared" si="32"/>
        <v>14838.924999999999</v>
      </c>
      <c r="W73" s="75">
        <f t="shared" si="10"/>
        <v>984.82</v>
      </c>
      <c r="Y73" s="181">
        <f t="shared" si="33"/>
        <v>3</v>
      </c>
      <c r="Z73" s="187">
        <f t="shared" si="34"/>
        <v>4.5799999999999272</v>
      </c>
      <c r="AA73" s="187" t="str">
        <f t="shared" si="42"/>
        <v>error</v>
      </c>
    </row>
    <row r="74" spans="1:27">
      <c r="A74" s="35"/>
      <c r="B74" s="35" t="s">
        <v>153</v>
      </c>
      <c r="C74" s="48">
        <v>353</v>
      </c>
      <c r="D74" s="61">
        <v>2013</v>
      </c>
      <c r="E74" s="150">
        <v>1564945.2299999997</v>
      </c>
      <c r="F74" s="77">
        <v>2.12E-2</v>
      </c>
      <c r="G74" s="540">
        <f t="shared" si="11"/>
        <v>0</v>
      </c>
      <c r="H74" s="75">
        <f t="shared" si="41"/>
        <v>0</v>
      </c>
      <c r="I74" s="77">
        <v>2.06E-2</v>
      </c>
      <c r="J74" s="79">
        <v>0</v>
      </c>
      <c r="K74" s="75">
        <f t="shared" si="43"/>
        <v>0</v>
      </c>
      <c r="L74" s="77">
        <v>1.9E-2</v>
      </c>
      <c r="M74" s="79">
        <f t="shared" si="36"/>
        <v>5</v>
      </c>
      <c r="N74" s="75">
        <f t="shared" si="6"/>
        <v>148669.79999999999</v>
      </c>
      <c r="O74" s="77">
        <v>1.9699999999999999E-2</v>
      </c>
      <c r="P74" s="79">
        <f t="shared" si="39"/>
        <v>4.5799999999999272</v>
      </c>
      <c r="Q74" s="75">
        <f t="shared" si="31"/>
        <v>141198.75</v>
      </c>
      <c r="R74" s="77">
        <v>4.7738000000000003E-2</v>
      </c>
      <c r="S74" s="79">
        <f t="shared" si="7"/>
        <v>2</v>
      </c>
      <c r="T74" s="75">
        <f t="shared" si="8"/>
        <v>149414.71</v>
      </c>
      <c r="U74" s="75">
        <f t="shared" si="9"/>
        <v>439283.26</v>
      </c>
      <c r="V74" s="186">
        <f t="shared" si="32"/>
        <v>1125661.9699999997</v>
      </c>
      <c r="W74" s="75">
        <f t="shared" si="10"/>
        <v>74707.360000000001</v>
      </c>
      <c r="Y74" s="181">
        <f t="shared" si="33"/>
        <v>3</v>
      </c>
      <c r="Z74" s="187">
        <f t="shared" si="34"/>
        <v>4.5799999999999272</v>
      </c>
      <c r="AA74" s="187" t="str">
        <f t="shared" si="42"/>
        <v>error</v>
      </c>
    </row>
    <row r="75" spans="1:27">
      <c r="A75" s="35"/>
      <c r="B75" s="35" t="s">
        <v>153</v>
      </c>
      <c r="C75" s="48">
        <v>353</v>
      </c>
      <c r="D75" s="61">
        <v>2014</v>
      </c>
      <c r="E75" s="150">
        <f>1663952.72+0.43</f>
        <v>1663953.15</v>
      </c>
      <c r="F75" s="77">
        <v>2.12E-2</v>
      </c>
      <c r="G75" s="540">
        <f>IF((2008-D75)+0.58&lt;0, 0,(2008-D75)+0.58)</f>
        <v>0</v>
      </c>
      <c r="H75" s="75">
        <f>ROUND(E75*G75*F75,2)</f>
        <v>0</v>
      </c>
      <c r="I75" s="77">
        <v>2.06E-2</v>
      </c>
      <c r="J75" s="79">
        <v>0</v>
      </c>
      <c r="K75" s="75">
        <f>ROUND(E75*J75*I75,2)</f>
        <v>0</v>
      </c>
      <c r="L75" s="77">
        <v>1.9E-2</v>
      </c>
      <c r="M75" s="79">
        <f t="shared" si="36"/>
        <v>4</v>
      </c>
      <c r="N75" s="75">
        <f t="shared" ref="N75:N86" si="44">ROUND(E75*L75*M75,2)</f>
        <v>126460.44</v>
      </c>
      <c r="O75" s="77">
        <v>1.9699999999999999E-2</v>
      </c>
      <c r="P75" s="79">
        <f t="shared" si="39"/>
        <v>4.5799999999999272</v>
      </c>
      <c r="Q75" s="75">
        <f t="shared" si="31"/>
        <v>150131.84</v>
      </c>
      <c r="R75" s="77">
        <v>4.7738000000000003E-2</v>
      </c>
      <c r="S75" s="79">
        <f t="shared" si="7"/>
        <v>2</v>
      </c>
      <c r="T75" s="75">
        <f t="shared" si="8"/>
        <v>158867.59</v>
      </c>
      <c r="U75" s="75">
        <f t="shared" si="9"/>
        <v>435459.87</v>
      </c>
      <c r="V75" s="186">
        <f t="shared" si="32"/>
        <v>1228493.2799999998</v>
      </c>
      <c r="W75" s="75">
        <f t="shared" si="10"/>
        <v>79433.8</v>
      </c>
      <c r="Y75" s="181">
        <f t="shared" si="33"/>
        <v>2</v>
      </c>
      <c r="Z75" s="187">
        <f t="shared" si="34"/>
        <v>4.5799999999999272</v>
      </c>
      <c r="AA75" s="187" t="str">
        <f>IF(Y75-Z75=0, "ok","error")</f>
        <v>error</v>
      </c>
    </row>
    <row r="76" spans="1:27">
      <c r="A76" s="35"/>
      <c r="B76" s="35" t="s">
        <v>153</v>
      </c>
      <c r="C76" s="48">
        <v>353</v>
      </c>
      <c r="D76" s="61">
        <v>2015</v>
      </c>
      <c r="E76" s="150">
        <v>6785.08</v>
      </c>
      <c r="F76" s="77">
        <v>2.12E-2</v>
      </c>
      <c r="G76" s="540">
        <f>IF((2008-D76)+0.58&lt;0, 0,(2008-D76)+0.58)</f>
        <v>0</v>
      </c>
      <c r="H76" s="75">
        <f>ROUND(E76*G76*F76,2)</f>
        <v>0</v>
      </c>
      <c r="I76" s="77">
        <v>2.06E-2</v>
      </c>
      <c r="J76" s="79">
        <v>0</v>
      </c>
      <c r="K76" s="75">
        <f>ROUND(E76*J76*I76,2)</f>
        <v>0</v>
      </c>
      <c r="L76" s="77">
        <v>1.9E-2</v>
      </c>
      <c r="M76" s="79">
        <f t="shared" si="36"/>
        <v>3</v>
      </c>
      <c r="N76" s="75">
        <f t="shared" si="44"/>
        <v>386.75</v>
      </c>
      <c r="O76" s="77">
        <v>1.9699999999999999E-2</v>
      </c>
      <c r="P76" s="79">
        <f t="shared" si="39"/>
        <v>4.5799999999999272</v>
      </c>
      <c r="Q76" s="75">
        <f t="shared" si="31"/>
        <v>612.19000000000005</v>
      </c>
      <c r="R76" s="77">
        <v>4.7738000000000003E-2</v>
      </c>
      <c r="S76" s="79">
        <f t="shared" si="7"/>
        <v>2</v>
      </c>
      <c r="T76" s="75">
        <f t="shared" si="8"/>
        <v>647.80999999999995</v>
      </c>
      <c r="U76" s="75">
        <f t="shared" si="9"/>
        <v>1646.75</v>
      </c>
      <c r="V76" s="186">
        <f t="shared" si="32"/>
        <v>5138.33</v>
      </c>
      <c r="W76" s="75">
        <f t="shared" si="10"/>
        <v>323.91000000000003</v>
      </c>
      <c r="Y76" s="181">
        <f t="shared" si="33"/>
        <v>1</v>
      </c>
      <c r="Z76" s="187">
        <f t="shared" si="34"/>
        <v>4.5799999999999272</v>
      </c>
      <c r="AA76" s="187" t="str">
        <f>IF(Y76-Z76=0, "ok","error")</f>
        <v>error</v>
      </c>
    </row>
    <row r="77" spans="1:27">
      <c r="A77" s="35"/>
      <c r="B77" s="35" t="s">
        <v>153</v>
      </c>
      <c r="C77" s="48">
        <v>353</v>
      </c>
      <c r="D77" s="61">
        <v>2016</v>
      </c>
      <c r="E77" s="150">
        <f>137250.85-3628.17-27344.9</f>
        <v>106277.78</v>
      </c>
      <c r="F77" s="77">
        <v>2.12E-2</v>
      </c>
      <c r="G77" s="540">
        <f>IF((2008-D77)+0.58&lt;0, 0,(2008-D77)+0.58)</f>
        <v>0</v>
      </c>
      <c r="H77" s="75">
        <f>ROUND(E77*G77*F77,2)</f>
        <v>0</v>
      </c>
      <c r="I77" s="77">
        <v>2.06E-2</v>
      </c>
      <c r="J77" s="79">
        <v>0</v>
      </c>
      <c r="K77" s="75">
        <f>ROUND(E77*J77*I77,2)</f>
        <v>0</v>
      </c>
      <c r="L77" s="77">
        <v>1.9E-2</v>
      </c>
      <c r="M77" s="79">
        <f t="shared" si="36"/>
        <v>2</v>
      </c>
      <c r="N77" s="75">
        <f>ROUND(E77*L77*M77,2)</f>
        <v>4038.56</v>
      </c>
      <c r="O77" s="77">
        <v>1.9699999999999999E-2</v>
      </c>
      <c r="P77" s="79">
        <f t="shared" si="39"/>
        <v>4.5799999999999272</v>
      </c>
      <c r="Q77" s="75">
        <f t="shared" si="31"/>
        <v>9589.02</v>
      </c>
      <c r="R77" s="77">
        <v>4.7738000000000003E-2</v>
      </c>
      <c r="S77" s="79">
        <f t="shared" si="7"/>
        <v>2</v>
      </c>
      <c r="T77" s="75">
        <f t="shared" si="8"/>
        <v>10146.98</v>
      </c>
      <c r="U77" s="75">
        <f t="shared" si="9"/>
        <v>23774.559999999998</v>
      </c>
      <c r="V77" s="186">
        <f t="shared" si="32"/>
        <v>82503.22</v>
      </c>
      <c r="W77" s="75">
        <f t="shared" si="10"/>
        <v>5073.49</v>
      </c>
      <c r="Y77" s="181">
        <f t="shared" si="33"/>
        <v>0</v>
      </c>
      <c r="Z77" s="187">
        <f t="shared" si="34"/>
        <v>4.5799999999999272</v>
      </c>
      <c r="AA77" s="187" t="str">
        <f>IF(Y77-Z77=0, "ok","error")</f>
        <v>error</v>
      </c>
    </row>
    <row r="78" spans="1:27">
      <c r="A78" s="35"/>
      <c r="B78" s="35" t="s">
        <v>153</v>
      </c>
      <c r="C78" s="48">
        <v>353</v>
      </c>
      <c r="D78" s="61">
        <v>2018</v>
      </c>
      <c r="E78" s="150">
        <v>145615.81</v>
      </c>
      <c r="F78" s="77">
        <v>2.12E-2</v>
      </c>
      <c r="G78" s="540">
        <f t="shared" si="11"/>
        <v>0</v>
      </c>
      <c r="H78" s="75">
        <f t="shared" si="41"/>
        <v>0</v>
      </c>
      <c r="I78" s="77">
        <v>2.06E-2</v>
      </c>
      <c r="J78" s="79">
        <v>0</v>
      </c>
      <c r="K78" s="75">
        <f t="shared" si="43"/>
        <v>0</v>
      </c>
      <c r="L78" s="77">
        <v>1.9E-2</v>
      </c>
      <c r="M78" s="79">
        <f t="shared" si="36"/>
        <v>0</v>
      </c>
      <c r="N78" s="75">
        <f t="shared" si="44"/>
        <v>0</v>
      </c>
      <c r="O78" s="77">
        <v>1.9699999999999999E-2</v>
      </c>
      <c r="P78" s="79">
        <f>IF(J78=0,(2021+1-D78)-J78-G78-M78,(2021+1-D78)-J78-G78-M78)</f>
        <v>4</v>
      </c>
      <c r="Q78" s="75">
        <f t="shared" ref="Q78:Q86" si="45">ROUND(E78*O78*P78,2)</f>
        <v>11474.53</v>
      </c>
      <c r="R78" s="77">
        <v>4.7738000000000003E-2</v>
      </c>
      <c r="S78" s="79">
        <f t="shared" si="7"/>
        <v>2</v>
      </c>
      <c r="T78" s="75">
        <f t="shared" si="8"/>
        <v>13902.82</v>
      </c>
      <c r="U78" s="75">
        <f t="shared" si="9"/>
        <v>25377.35</v>
      </c>
      <c r="V78" s="186">
        <f t="shared" ref="V78:V86" si="46">E78-U78</f>
        <v>120238.45999999999</v>
      </c>
      <c r="W78" s="75">
        <f t="shared" si="10"/>
        <v>6951.41</v>
      </c>
      <c r="Y78" s="181">
        <f t="shared" ref="Y78:Y86" si="47">2015+1-D78</f>
        <v>-2</v>
      </c>
      <c r="Z78" s="187">
        <f t="shared" ref="Z78:Z86" si="48">G78+J78+P78</f>
        <v>4</v>
      </c>
      <c r="AA78" s="187" t="str">
        <f>IF(Y78-Z78=0, "ok","error")</f>
        <v>error</v>
      </c>
    </row>
    <row r="79" spans="1:27">
      <c r="A79" s="35"/>
      <c r="B79" s="35" t="s">
        <v>827</v>
      </c>
      <c r="C79" s="48">
        <v>353</v>
      </c>
      <c r="D79" s="61">
        <v>2008</v>
      </c>
      <c r="E79" s="150">
        <f>2223479.04</f>
        <v>2223479.04</v>
      </c>
      <c r="F79" s="77">
        <v>2.12E-2</v>
      </c>
      <c r="G79" s="540">
        <f t="shared" ref="G79:G86" si="49">IF((2008-D79)+0.58&lt;0, 0,(2008-D79)+0.58)</f>
        <v>0.57999999999999996</v>
      </c>
      <c r="H79" s="75">
        <f>ROUND(E79*G79*F79,2)</f>
        <v>27339.9</v>
      </c>
      <c r="I79" s="77">
        <v>2.06E-2</v>
      </c>
      <c r="J79" s="79">
        <f>IF(G79=0,IF($J$98=D79,$J$98-D79+0.42,($J$98+0.42-D79)-G79),$J$98+0.42-D79)-G79</f>
        <v>3.8400000000000727</v>
      </c>
      <c r="K79" s="75">
        <f t="shared" si="43"/>
        <v>175886.09</v>
      </c>
      <c r="L79" s="77">
        <v>1.9E-2</v>
      </c>
      <c r="M79" s="79">
        <f t="shared" si="36"/>
        <v>5</v>
      </c>
      <c r="N79" s="75">
        <f t="shared" si="44"/>
        <v>211230.51</v>
      </c>
      <c r="O79" s="77">
        <v>0.12330000000000001</v>
      </c>
      <c r="P79" s="79">
        <f>IF(J79=0,(2021+1-D79)-J79-G79-M79,(2021+1-D79)-J79-G79-M79)</f>
        <v>4.5799999999999272</v>
      </c>
      <c r="Q79" s="75">
        <f t="shared" si="45"/>
        <v>1255629.74</v>
      </c>
      <c r="R79" s="77">
        <v>7.0599999999999996E-2</v>
      </c>
      <c r="S79" s="79">
        <f t="shared" ref="S79:S86" si="50">$A$95-$A$94+1</f>
        <v>2</v>
      </c>
      <c r="T79" s="75">
        <f t="shared" ref="T79:T86" si="51">ROUND(E79*R79*S79,2)</f>
        <v>313955.24</v>
      </c>
      <c r="U79" s="75">
        <f t="shared" ref="U79:U86" si="52">SUM(H79,K79,N79,Q79,T79)</f>
        <v>1984041.48</v>
      </c>
      <c r="V79" s="186">
        <f t="shared" si="46"/>
        <v>239437.56000000006</v>
      </c>
      <c r="W79" s="75">
        <f t="shared" ref="W79:W86" si="53">ROUND(E79*R79,2)</f>
        <v>156977.62</v>
      </c>
      <c r="Y79" s="181">
        <f t="shared" si="47"/>
        <v>8</v>
      </c>
      <c r="Z79" s="187">
        <f t="shared" si="48"/>
        <v>9</v>
      </c>
      <c r="AA79" s="187" t="str">
        <f t="shared" si="42"/>
        <v>error</v>
      </c>
    </row>
    <row r="80" spans="1:27">
      <c r="A80" s="35"/>
      <c r="B80" s="35" t="s">
        <v>827</v>
      </c>
      <c r="C80" s="48">
        <v>353</v>
      </c>
      <c r="D80" s="61">
        <v>2011</v>
      </c>
      <c r="E80" s="150">
        <v>63402.18</v>
      </c>
      <c r="F80" s="77">
        <v>2.12E-2</v>
      </c>
      <c r="G80" s="540">
        <f t="shared" si="49"/>
        <v>0</v>
      </c>
      <c r="H80" s="75">
        <f>ROUND(E80*G80*F80,2)</f>
        <v>0</v>
      </c>
      <c r="I80" s="77">
        <v>2.06E-2</v>
      </c>
      <c r="J80" s="79">
        <f>IF(G80=0,IF($J$98=D80,$J$98-D80+0.42,($J$98+0.42-D80)-G80),$J$98+0.42-D80)-G80</f>
        <v>1.4200000000000728</v>
      </c>
      <c r="K80" s="75">
        <f t="shared" si="43"/>
        <v>1854.64</v>
      </c>
      <c r="L80" s="77">
        <v>1.9E-2</v>
      </c>
      <c r="M80" s="79">
        <f t="shared" si="36"/>
        <v>5</v>
      </c>
      <c r="N80" s="75">
        <f t="shared" si="44"/>
        <v>6023.21</v>
      </c>
      <c r="O80" s="77">
        <v>0.12330000000000001</v>
      </c>
      <c r="P80" s="79">
        <f t="shared" ref="P80:P86" si="54">IF(J80=0,(2021+1.58-D80)-J80-G80-M80,(2021+1-D80)-J80-G80-M80)</f>
        <v>4.5799999999999272</v>
      </c>
      <c r="Q80" s="75">
        <f t="shared" si="45"/>
        <v>35804.1</v>
      </c>
      <c r="R80" s="77">
        <v>7.0599999999999996E-2</v>
      </c>
      <c r="S80" s="79">
        <f t="shared" si="50"/>
        <v>2</v>
      </c>
      <c r="T80" s="75">
        <f t="shared" si="51"/>
        <v>8952.39</v>
      </c>
      <c r="U80" s="75">
        <f t="shared" si="52"/>
        <v>52634.34</v>
      </c>
      <c r="V80" s="186">
        <f t="shared" si="46"/>
        <v>10767.840000000004</v>
      </c>
      <c r="W80" s="75">
        <f t="shared" si="53"/>
        <v>4476.1899999999996</v>
      </c>
      <c r="Y80" s="181">
        <f t="shared" si="47"/>
        <v>5</v>
      </c>
      <c r="Z80" s="187">
        <f t="shared" si="48"/>
        <v>6</v>
      </c>
      <c r="AA80" s="187" t="str">
        <f t="shared" si="42"/>
        <v>error</v>
      </c>
    </row>
    <row r="81" spans="1:27">
      <c r="A81" s="35"/>
      <c r="B81" s="35" t="s">
        <v>855</v>
      </c>
      <c r="C81" s="48">
        <v>353</v>
      </c>
      <c r="D81" s="61">
        <v>2013</v>
      </c>
      <c r="E81" s="150">
        <f>234568.29-56507.35-39973.38</f>
        <v>138087.56</v>
      </c>
      <c r="F81" s="77">
        <v>2.12E-2</v>
      </c>
      <c r="G81" s="540">
        <f t="shared" si="49"/>
        <v>0</v>
      </c>
      <c r="H81" s="75">
        <f>ROUND(E81*G81*F81,2)</f>
        <v>0</v>
      </c>
      <c r="I81" s="77">
        <v>2.06E-2</v>
      </c>
      <c r="J81" s="79">
        <v>0</v>
      </c>
      <c r="K81" s="75">
        <f t="shared" si="43"/>
        <v>0</v>
      </c>
      <c r="L81" s="77">
        <v>1.9E-2</v>
      </c>
      <c r="M81" s="79">
        <f t="shared" si="36"/>
        <v>5</v>
      </c>
      <c r="N81" s="75">
        <f t="shared" si="44"/>
        <v>13118.32</v>
      </c>
      <c r="O81" s="77">
        <v>0.12330000000000001</v>
      </c>
      <c r="P81" s="79">
        <f t="shared" si="54"/>
        <v>4.5799999999999272</v>
      </c>
      <c r="Q81" s="75">
        <f t="shared" si="45"/>
        <v>77979.98</v>
      </c>
      <c r="R81" s="77">
        <v>7.0599999999999996E-2</v>
      </c>
      <c r="S81" s="79">
        <f t="shared" si="50"/>
        <v>2</v>
      </c>
      <c r="T81" s="75">
        <f t="shared" si="51"/>
        <v>19497.96</v>
      </c>
      <c r="U81" s="75">
        <f t="shared" si="52"/>
        <v>110596.25999999998</v>
      </c>
      <c r="V81" s="186">
        <f t="shared" si="46"/>
        <v>27491.300000000017</v>
      </c>
      <c r="W81" s="75">
        <f t="shared" si="53"/>
        <v>9748.98</v>
      </c>
      <c r="Y81" s="181">
        <f t="shared" si="47"/>
        <v>3</v>
      </c>
      <c r="Z81" s="187">
        <f t="shared" si="48"/>
        <v>4.5799999999999272</v>
      </c>
      <c r="AA81" s="187" t="str">
        <f t="shared" si="42"/>
        <v>error</v>
      </c>
    </row>
    <row r="82" spans="1:27">
      <c r="A82" s="35"/>
      <c r="B82" s="35" t="s">
        <v>828</v>
      </c>
      <c r="C82" s="48">
        <v>352</v>
      </c>
      <c r="D82" s="61">
        <v>1982</v>
      </c>
      <c r="E82" s="150">
        <v>55381.11</v>
      </c>
      <c r="F82" s="77">
        <v>1.29E-2</v>
      </c>
      <c r="G82" s="540">
        <f t="shared" si="49"/>
        <v>26.58</v>
      </c>
      <c r="H82" s="75">
        <f t="shared" si="41"/>
        <v>18989.189999999999</v>
      </c>
      <c r="I82" s="77">
        <v>1.6799999999999999E-2</v>
      </c>
      <c r="J82" s="79">
        <f>IF(G82=0,IF($J$98=D82,$J$98-D82+0.42,($J$98+0.42-D82)-G82),$J$98+0.42-D82)-G82</f>
        <v>3.8400000000000745</v>
      </c>
      <c r="K82" s="75">
        <f t="shared" si="43"/>
        <v>3572.75</v>
      </c>
      <c r="L82" s="77">
        <v>1.84E-2</v>
      </c>
      <c r="M82" s="79">
        <f t="shared" si="36"/>
        <v>5</v>
      </c>
      <c r="N82" s="75">
        <f t="shared" si="44"/>
        <v>5095.0600000000004</v>
      </c>
      <c r="O82" s="77">
        <v>3.1199999999999999E-2</v>
      </c>
      <c r="P82" s="79">
        <f t="shared" si="54"/>
        <v>4.5799999999999272</v>
      </c>
      <c r="Q82" s="75">
        <f t="shared" si="45"/>
        <v>7913.74</v>
      </c>
      <c r="R82" s="77">
        <v>3.1300000000000001E-2</v>
      </c>
      <c r="S82" s="79">
        <f t="shared" si="50"/>
        <v>2</v>
      </c>
      <c r="T82" s="75">
        <f>ROUND(E82*0.0312,2)+ROUND(E82*R82,2)</f>
        <v>3461.32</v>
      </c>
      <c r="U82" s="75">
        <f t="shared" si="52"/>
        <v>39032.06</v>
      </c>
      <c r="V82" s="186">
        <f t="shared" si="46"/>
        <v>16349.050000000003</v>
      </c>
      <c r="W82" s="75">
        <f t="shared" si="53"/>
        <v>1733.43</v>
      </c>
      <c r="X82" s="188">
        <v>-1</v>
      </c>
      <c r="Y82" s="181">
        <f t="shared" si="47"/>
        <v>34</v>
      </c>
      <c r="Z82" s="187">
        <f t="shared" si="48"/>
        <v>35</v>
      </c>
      <c r="AA82" s="187" t="str">
        <f t="shared" si="42"/>
        <v>error</v>
      </c>
    </row>
    <row r="83" spans="1:27">
      <c r="A83" s="35"/>
      <c r="B83" s="35" t="s">
        <v>828</v>
      </c>
      <c r="C83" s="48">
        <v>353</v>
      </c>
      <c r="D83" s="61">
        <v>1985</v>
      </c>
      <c r="E83" s="150">
        <f>518465.7+518465.71-189778.67</f>
        <v>847152.74</v>
      </c>
      <c r="F83" s="77">
        <v>2.12E-2</v>
      </c>
      <c r="G83" s="540">
        <f t="shared" si="49"/>
        <v>23.58</v>
      </c>
      <c r="H83" s="75">
        <f>ROUND(E83*G83*F83,2)</f>
        <v>423488.27</v>
      </c>
      <c r="I83" s="77">
        <v>2.06E-2</v>
      </c>
      <c r="J83" s="79">
        <f>IF(G83=0,IF($J$98=D83,$J$98-D83+0.42,($J$98+0.42-D83)-G83),$J$98+0.42-D83)-G83</f>
        <v>3.8400000000000745</v>
      </c>
      <c r="K83" s="75">
        <f>ROUND(E83*J83*I83,2)</f>
        <v>67013.17</v>
      </c>
      <c r="L83" s="77">
        <v>1.9E-2</v>
      </c>
      <c r="M83" s="79">
        <f t="shared" si="36"/>
        <v>5</v>
      </c>
      <c r="N83" s="75">
        <f t="shared" si="44"/>
        <v>80479.509999999995</v>
      </c>
      <c r="O83" s="77">
        <v>3.7600000000000001E-2</v>
      </c>
      <c r="P83" s="79">
        <f t="shared" si="54"/>
        <v>4.5799999999999272</v>
      </c>
      <c r="Q83" s="75">
        <f t="shared" si="45"/>
        <v>145886.48000000001</v>
      </c>
      <c r="R83" s="77">
        <v>3.7600000000000001E-2</v>
      </c>
      <c r="S83" s="79">
        <f t="shared" si="50"/>
        <v>2</v>
      </c>
      <c r="T83" s="75">
        <f t="shared" si="51"/>
        <v>63705.89</v>
      </c>
      <c r="U83" s="75">
        <f t="shared" si="52"/>
        <v>780573.32</v>
      </c>
      <c r="V83" s="186">
        <f t="shared" si="46"/>
        <v>66579.420000000042</v>
      </c>
      <c r="W83" s="75">
        <f t="shared" si="53"/>
        <v>31852.94</v>
      </c>
      <c r="Y83" s="181">
        <f t="shared" si="47"/>
        <v>31</v>
      </c>
      <c r="Z83" s="187">
        <f t="shared" si="48"/>
        <v>32</v>
      </c>
      <c r="AA83" s="187" t="str">
        <f>IF(Y83-Z83=0, "ok","error")</f>
        <v>error</v>
      </c>
    </row>
    <row r="84" spans="1:27">
      <c r="A84" s="35"/>
      <c r="B84" s="35" t="s">
        <v>828</v>
      </c>
      <c r="C84" s="48">
        <v>353</v>
      </c>
      <c r="D84" s="61">
        <v>1986</v>
      </c>
      <c r="E84" s="150">
        <v>4161.2299999999996</v>
      </c>
      <c r="F84" s="77">
        <v>2.12E-2</v>
      </c>
      <c r="G84" s="540">
        <f t="shared" si="49"/>
        <v>22.58</v>
      </c>
      <c r="H84" s="75">
        <f>ROUND(E84*G84*F84,2)</f>
        <v>1991.96</v>
      </c>
      <c r="I84" s="77">
        <v>2.06E-2</v>
      </c>
      <c r="J84" s="79">
        <f>IF(G84=0,IF($J$98=D84,$J$98-D84+0.42,($J$98+0.42-D84)-G84),$J$98+0.42-D84)-G84</f>
        <v>3.8400000000000745</v>
      </c>
      <c r="K84" s="75">
        <f>ROUND(E84*J84*I84,2)</f>
        <v>329.17</v>
      </c>
      <c r="L84" s="77">
        <v>1.9E-2</v>
      </c>
      <c r="M84" s="79">
        <f t="shared" si="36"/>
        <v>5</v>
      </c>
      <c r="N84" s="75">
        <f t="shared" si="44"/>
        <v>395.32</v>
      </c>
      <c r="O84" s="77">
        <v>3.7600000000000001E-2</v>
      </c>
      <c r="P84" s="79">
        <f t="shared" si="54"/>
        <v>4.5799999999999272</v>
      </c>
      <c r="Q84" s="75">
        <f t="shared" si="45"/>
        <v>716.6</v>
      </c>
      <c r="R84" s="77">
        <v>3.7600000000000001E-2</v>
      </c>
      <c r="S84" s="79">
        <f t="shared" si="50"/>
        <v>2</v>
      </c>
      <c r="T84" s="75">
        <f t="shared" si="51"/>
        <v>312.92</v>
      </c>
      <c r="U84" s="75">
        <f t="shared" si="52"/>
        <v>3745.9700000000003</v>
      </c>
      <c r="V84" s="186">
        <f t="shared" si="46"/>
        <v>415.25999999999931</v>
      </c>
      <c r="W84" s="75">
        <f t="shared" si="53"/>
        <v>156.46</v>
      </c>
      <c r="Y84" s="181">
        <f t="shared" si="47"/>
        <v>30</v>
      </c>
      <c r="Z84" s="187">
        <f t="shared" si="48"/>
        <v>31</v>
      </c>
      <c r="AA84" s="187" t="str">
        <f>IF(Y84-Z84=0, "ok","error")</f>
        <v>error</v>
      </c>
    </row>
    <row r="85" spans="1:27">
      <c r="A85" s="35"/>
      <c r="B85" s="35" t="s">
        <v>828</v>
      </c>
      <c r="C85" s="48">
        <v>353</v>
      </c>
      <c r="D85" s="61">
        <v>1987</v>
      </c>
      <c r="E85" s="150">
        <v>70.08</v>
      </c>
      <c r="F85" s="77">
        <v>2.12E-2</v>
      </c>
      <c r="G85" s="540">
        <f t="shared" si="49"/>
        <v>21.58</v>
      </c>
      <c r="H85" s="75">
        <f>ROUND(E85*G85*F85,2)</f>
        <v>32.06</v>
      </c>
      <c r="I85" s="77">
        <v>2.06E-2</v>
      </c>
      <c r="J85" s="79">
        <f>IF(G85=0,IF($J$98=D85,$J$98-D85+0.42,($J$98+0.42-D85)-G85),$J$98+0.42-D85)-G85</f>
        <v>3.8400000000000745</v>
      </c>
      <c r="K85" s="75">
        <f>ROUND(E85*J85*I85,2)</f>
        <v>5.54</v>
      </c>
      <c r="L85" s="77">
        <v>1.9E-2</v>
      </c>
      <c r="M85" s="79">
        <f t="shared" si="36"/>
        <v>5</v>
      </c>
      <c r="N85" s="75">
        <f t="shared" si="44"/>
        <v>6.66</v>
      </c>
      <c r="O85" s="77">
        <v>3.7600000000000001E-2</v>
      </c>
      <c r="P85" s="79">
        <f t="shared" si="54"/>
        <v>4.5799999999999272</v>
      </c>
      <c r="Q85" s="75">
        <f t="shared" si="45"/>
        <v>12.07</v>
      </c>
      <c r="R85" s="77">
        <v>3.7600000000000001E-2</v>
      </c>
      <c r="S85" s="79">
        <f t="shared" si="50"/>
        <v>2</v>
      </c>
      <c r="T85" s="75">
        <f t="shared" si="51"/>
        <v>5.27</v>
      </c>
      <c r="U85" s="75">
        <f t="shared" si="52"/>
        <v>61.600000000000009</v>
      </c>
      <c r="V85" s="186">
        <f t="shared" si="46"/>
        <v>8.4799999999999898</v>
      </c>
      <c r="W85" s="75">
        <f t="shared" si="53"/>
        <v>2.64</v>
      </c>
      <c r="Y85" s="181">
        <f t="shared" si="47"/>
        <v>29</v>
      </c>
      <c r="Z85" s="187">
        <f t="shared" si="48"/>
        <v>30</v>
      </c>
      <c r="AA85" s="187" t="str">
        <f>IF(Y85-Z85=0, "ok","error")</f>
        <v>error</v>
      </c>
    </row>
    <row r="86" spans="1:27">
      <c r="A86" s="35"/>
      <c r="B86" s="35" t="s">
        <v>828</v>
      </c>
      <c r="C86" s="48">
        <v>353</v>
      </c>
      <c r="D86" s="61">
        <v>2011</v>
      </c>
      <c r="E86" s="150">
        <v>22115.47</v>
      </c>
      <c r="F86" s="77">
        <v>2.12E-2</v>
      </c>
      <c r="G86" s="540">
        <f t="shared" si="49"/>
        <v>0</v>
      </c>
      <c r="H86" s="75">
        <f>ROUND(E86*G86*F86,2)</f>
        <v>0</v>
      </c>
      <c r="I86" s="77">
        <v>2.06E-2</v>
      </c>
      <c r="J86" s="79">
        <f>IF(G86=0,IF($J$98=D86,$J$98-D86+0.42,($J$98+0.42-D86)-G86),$J$98+0.42-D86)-G86</f>
        <v>1.4200000000000728</v>
      </c>
      <c r="K86" s="75">
        <f>ROUND(E86*J86*I86,2)</f>
        <v>646.91999999999996</v>
      </c>
      <c r="L86" s="77">
        <v>1.9E-2</v>
      </c>
      <c r="M86" s="79">
        <f t="shared" si="36"/>
        <v>5</v>
      </c>
      <c r="N86" s="75">
        <f t="shared" si="44"/>
        <v>2100.9699999999998</v>
      </c>
      <c r="O86" s="77">
        <v>3.7600000000000001E-2</v>
      </c>
      <c r="P86" s="79">
        <f t="shared" si="54"/>
        <v>4.5799999999999272</v>
      </c>
      <c r="Q86" s="75">
        <f t="shared" si="45"/>
        <v>3808.46</v>
      </c>
      <c r="R86" s="77">
        <v>3.7600000000000001E-2</v>
      </c>
      <c r="S86" s="79">
        <f t="shared" si="50"/>
        <v>2</v>
      </c>
      <c r="T86" s="75">
        <f t="shared" si="51"/>
        <v>1663.08</v>
      </c>
      <c r="U86" s="75">
        <f t="shared" si="52"/>
        <v>8219.43</v>
      </c>
      <c r="V86" s="186">
        <f t="shared" si="46"/>
        <v>13896.04</v>
      </c>
      <c r="W86" s="75">
        <f t="shared" si="53"/>
        <v>831.54</v>
      </c>
      <c r="Y86" s="181">
        <f t="shared" si="47"/>
        <v>5</v>
      </c>
      <c r="Z86" s="187">
        <f t="shared" si="48"/>
        <v>6</v>
      </c>
      <c r="AA86" s="187" t="str">
        <f>IF(Y86-Z86=0, "ok","error")</f>
        <v>error</v>
      </c>
    </row>
    <row r="87" spans="1:27">
      <c r="E87" s="14"/>
      <c r="F87" s="77"/>
      <c r="G87" s="78"/>
      <c r="H87" s="14"/>
      <c r="I87" s="77"/>
      <c r="J87" s="79"/>
      <c r="K87" s="14"/>
      <c r="L87" s="80"/>
      <c r="M87" s="80"/>
      <c r="N87" s="14"/>
      <c r="O87" s="80"/>
      <c r="P87" s="80"/>
      <c r="Q87" s="14"/>
      <c r="R87" s="80"/>
      <c r="S87" s="80"/>
      <c r="T87" s="14"/>
      <c r="U87" s="14"/>
      <c r="V87" s="14"/>
      <c r="W87" s="14"/>
    </row>
    <row r="88" spans="1:27">
      <c r="A88" s="177" t="s">
        <v>381</v>
      </c>
      <c r="E88" s="81">
        <f>SUM(E12:E87)</f>
        <v>40995725.88499999</v>
      </c>
      <c r="F88" s="189"/>
      <c r="H88" s="81">
        <f>SUM(H12:H87)</f>
        <v>6185861.1800000016</v>
      </c>
      <c r="I88" s="189"/>
      <c r="J88" s="190"/>
      <c r="K88" s="81">
        <f>SUM(K12:K87)</f>
        <v>1312686.6499999999</v>
      </c>
      <c r="L88" s="82"/>
      <c r="M88" s="82"/>
      <c r="N88" s="81">
        <f>SUM(N12:N87)</f>
        <v>2387705.9500000002</v>
      </c>
      <c r="O88" s="82"/>
      <c r="P88" s="82"/>
      <c r="Q88" s="81">
        <f>SUM(Q12:Q87)</f>
        <v>4110293.4199999995</v>
      </c>
      <c r="R88" s="82"/>
      <c r="S88" s="82"/>
      <c r="T88" s="81">
        <f>SUM(T12:T87)</f>
        <v>2307558.75</v>
      </c>
      <c r="U88" s="81">
        <f>SUM(U12:U87)</f>
        <v>16304105.950000007</v>
      </c>
      <c r="V88" s="81">
        <f>SUM(V12:V87)</f>
        <v>24691619.935000002</v>
      </c>
      <c r="W88" s="81">
        <f>SUM(W12:W87)</f>
        <v>1186828.52</v>
      </c>
    </row>
    <row r="89" spans="1:27">
      <c r="B89" s="35"/>
      <c r="E89" s="191"/>
      <c r="F89" s="189"/>
      <c r="H89" s="191"/>
      <c r="I89" s="189"/>
      <c r="J89" s="190"/>
      <c r="K89" s="191"/>
      <c r="L89" s="192"/>
      <c r="M89" s="192"/>
      <c r="N89" s="191"/>
      <c r="O89" s="192"/>
      <c r="P89" s="192"/>
      <c r="Q89" s="191"/>
      <c r="R89" s="192"/>
      <c r="S89" s="192"/>
      <c r="T89" s="191"/>
      <c r="U89" s="191"/>
      <c r="V89" s="191"/>
      <c r="W89" s="83"/>
    </row>
    <row r="90" spans="1:27" ht="39.75" customHeight="1">
      <c r="A90" s="601" t="s">
        <v>1341</v>
      </c>
      <c r="B90" s="601"/>
      <c r="C90" s="601"/>
      <c r="D90" s="601"/>
      <c r="E90" s="601"/>
      <c r="F90" s="601"/>
      <c r="G90" s="601"/>
      <c r="H90" s="601"/>
      <c r="I90" s="601"/>
      <c r="J90" s="601"/>
      <c r="K90" s="601"/>
      <c r="L90" s="601"/>
      <c r="M90" s="601"/>
      <c r="N90" s="601"/>
      <c r="O90" s="601"/>
      <c r="P90" s="601"/>
      <c r="Q90" s="601"/>
      <c r="R90" s="601"/>
      <c r="S90" s="601"/>
      <c r="T90" s="601"/>
      <c r="U90" s="191"/>
      <c r="V90" s="191"/>
      <c r="W90" s="83"/>
    </row>
    <row r="91" spans="1:27">
      <c r="B91" s="35"/>
      <c r="E91" s="191"/>
      <c r="F91" s="189"/>
      <c r="H91" s="191"/>
      <c r="I91" s="189"/>
      <c r="J91" s="190"/>
      <c r="K91" s="191"/>
      <c r="L91" s="192"/>
      <c r="M91" s="192"/>
      <c r="N91" s="191"/>
      <c r="O91" s="192"/>
      <c r="P91" s="192"/>
      <c r="Q91" s="191"/>
      <c r="R91" s="192"/>
      <c r="S91" s="192"/>
      <c r="T91" s="191"/>
      <c r="U91" s="191"/>
      <c r="V91" s="191"/>
      <c r="W91" s="83"/>
    </row>
    <row r="92" spans="1:27">
      <c r="B92" s="35"/>
      <c r="E92" s="191"/>
      <c r="F92" s="189"/>
      <c r="H92" s="191"/>
      <c r="I92" s="189"/>
      <c r="J92" s="190"/>
      <c r="K92" s="191"/>
      <c r="L92" s="192"/>
      <c r="M92" s="192"/>
      <c r="N92" s="191"/>
      <c r="O92" s="192"/>
      <c r="P92" s="192"/>
      <c r="Q92" s="191"/>
      <c r="R92" s="192"/>
      <c r="S92" s="192"/>
      <c r="T92" s="191"/>
      <c r="U92" s="191"/>
      <c r="V92" s="191"/>
      <c r="W92" s="83"/>
    </row>
    <row r="93" spans="1:27">
      <c r="B93" s="35"/>
      <c r="E93" s="191"/>
      <c r="F93" s="189"/>
      <c r="H93" s="191"/>
      <c r="I93" s="189"/>
      <c r="J93" s="190"/>
      <c r="K93" s="191"/>
      <c r="L93" s="192"/>
      <c r="M93" s="192"/>
      <c r="N93" s="191"/>
      <c r="O93" s="192"/>
      <c r="P93" s="192"/>
      <c r="Q93" s="191"/>
      <c r="R93" s="192"/>
      <c r="S93" s="192"/>
      <c r="T93" s="191"/>
      <c r="U93" s="191"/>
      <c r="V93" s="191"/>
      <c r="W93" s="83"/>
    </row>
    <row r="94" spans="1:27">
      <c r="A94" s="181">
        <v>2022</v>
      </c>
      <c r="B94" s="181" t="s">
        <v>1214</v>
      </c>
      <c r="E94" s="191"/>
      <c r="F94" s="189"/>
      <c r="H94" s="191"/>
      <c r="I94" s="189"/>
      <c r="J94" s="190"/>
      <c r="K94" s="191"/>
      <c r="L94" s="192"/>
      <c r="M94" s="192"/>
      <c r="N94" s="191"/>
      <c r="O94" s="192"/>
      <c r="P94" s="192"/>
      <c r="Q94" s="191"/>
      <c r="R94" s="192"/>
      <c r="S94" s="192"/>
      <c r="T94" s="191"/>
      <c r="U94" s="191"/>
      <c r="V94" s="191"/>
      <c r="W94" s="83"/>
    </row>
    <row r="95" spans="1:27">
      <c r="A95" s="181">
        <v>2023</v>
      </c>
      <c r="B95" s="181" t="s">
        <v>1215</v>
      </c>
      <c r="E95" s="191"/>
      <c r="U95" s="14"/>
      <c r="V95" s="14"/>
      <c r="W95" s="14"/>
    </row>
    <row r="96" spans="1:27">
      <c r="B96" s="35"/>
      <c r="E96" s="191"/>
      <c r="J96" s="181">
        <v>2010</v>
      </c>
      <c r="U96" s="14"/>
      <c r="V96" s="14"/>
      <c r="W96" s="14"/>
    </row>
    <row r="97" spans="5:10">
      <c r="E97" s="191"/>
      <c r="J97" s="181">
        <v>2011</v>
      </c>
    </row>
    <row r="98" spans="5:10">
      <c r="E98" s="191"/>
      <c r="J98" s="181">
        <v>2012</v>
      </c>
    </row>
    <row r="99" spans="5:10">
      <c r="E99" s="191"/>
      <c r="J99" s="181">
        <v>2013</v>
      </c>
    </row>
    <row r="100" spans="5:10">
      <c r="E100" s="191"/>
      <c r="J100" s="181">
        <v>2014</v>
      </c>
    </row>
    <row r="101" spans="5:10">
      <c r="E101" s="191"/>
      <c r="J101" s="181">
        <v>2015</v>
      </c>
    </row>
    <row r="102" spans="5:10">
      <c r="E102" s="191"/>
      <c r="J102" s="181">
        <v>2016</v>
      </c>
    </row>
    <row r="103" spans="5:10">
      <c r="E103" s="191"/>
      <c r="J103" s="181">
        <v>2017</v>
      </c>
    </row>
    <row r="104" spans="5:10">
      <c r="E104" s="191"/>
    </row>
    <row r="105" spans="5:10">
      <c r="E105" s="191"/>
    </row>
    <row r="106" spans="5:10">
      <c r="E106" s="191"/>
    </row>
    <row r="107" spans="5:10">
      <c r="E107" s="191"/>
      <c r="F107" s="192"/>
    </row>
    <row r="108" spans="5:10">
      <c r="E108" s="191"/>
    </row>
    <row r="109" spans="5:10">
      <c r="E109" s="191"/>
    </row>
  </sheetData>
  <sheetProtection formatCells="0"/>
  <sortState xmlns:xlrd2="http://schemas.microsoft.com/office/spreadsheetml/2017/richdata2" ref="A13:Q86">
    <sortCondition ref="A13:A86"/>
  </sortState>
  <mergeCells count="13">
    <mergeCell ref="A90:T90"/>
    <mergeCell ref="A1:X1"/>
    <mergeCell ref="A2:X2"/>
    <mergeCell ref="A3:X3"/>
    <mergeCell ref="F10:H10"/>
    <mergeCell ref="I10:K10"/>
    <mergeCell ref="O10:Q10"/>
    <mergeCell ref="L10:N10"/>
    <mergeCell ref="A5:X5"/>
    <mergeCell ref="A6:X6"/>
    <mergeCell ref="A7:X7"/>
    <mergeCell ref="A8:X8"/>
    <mergeCell ref="R10:T10"/>
  </mergeCells>
  <phoneticPr fontId="0" type="noConversion"/>
  <printOptions horizontalCentered="1"/>
  <pageMargins left="0.75" right="0.75" top="1" bottom="1" header="0.5" footer="0.5"/>
  <pageSetup scale="29" orientation="portrait" r:id="rId1"/>
  <headerFooter alignWithMargins="0"/>
  <ignoredErrors>
    <ignoredError sqref="E88 H88 K88 U88:W88 E79 E14 E68:E69 Q82 J82:K82 G82:H82 G79:H80 J79:K80 Q79:Q80 C70 G57:H63 G64 Q12 J12:K12 E12 Q14:Q18 G14:H18 J14:K18 Q23:Q29 G23:H29 J23:K28 K44 G65:H72 Q57:Q72 J57:K72 V12 V82 V79:V80 V14:V18 V23:V29 V57:V72 E72 V49:V55 J49:K55 Q49:Q55 G49:H55 K29 Q34:Q44 G34:H44 J34:K43 V34:V44 G47:H47 Q47 J47:K47 V47 Q88"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Y23"/>
  <sheetViews>
    <sheetView zoomScaleNormal="100" zoomScaleSheetLayoutView="100" zoomScalePageLayoutView="75" workbookViewId="0">
      <selection sqref="A1:XFD1048576"/>
    </sheetView>
  </sheetViews>
  <sheetFormatPr defaultColWidth="11.5703125" defaultRowHeight="12.75"/>
  <cols>
    <col min="1" max="1" width="32.28515625" style="177" customWidth="1"/>
    <col min="2" max="2" width="10.28515625" style="555" customWidth="1"/>
    <col min="3" max="3" width="8.7109375" style="177" customWidth="1"/>
    <col min="4" max="4" width="13.28515625" style="177" customWidth="1"/>
    <col min="5" max="6" width="12.7109375" style="177" hidden="1" customWidth="1"/>
    <col min="7" max="7" width="12.7109375" style="177" customWidth="1"/>
    <col min="8" max="9" width="12.7109375" style="177" hidden="1" customWidth="1"/>
    <col min="10" max="10" width="15.28515625" style="177" customWidth="1"/>
    <col min="11" max="12" width="12.7109375" style="177" hidden="1" customWidth="1"/>
    <col min="13" max="13" width="14.42578125" style="177" customWidth="1"/>
    <col min="14" max="15" width="12.7109375" style="177" hidden="1" customWidth="1"/>
    <col min="16" max="16" width="14" style="177" customWidth="1"/>
    <col min="17" max="19" width="12.7109375" style="177" customWidth="1"/>
    <col min="20" max="20" width="17.28515625" style="177" customWidth="1"/>
    <col min="21" max="21" width="13.28515625" style="177" customWidth="1"/>
    <col min="22" max="22" width="13.28515625" style="20" customWidth="1"/>
    <col min="23" max="23" width="7.5703125" style="177" customWidth="1"/>
    <col min="24" max="26" width="9.140625" style="177" customWidth="1"/>
    <col min="27" max="49" width="28.28515625" style="177" customWidth="1"/>
    <col min="50" max="264" width="9.140625" style="177" customWidth="1"/>
    <col min="265" max="16384" width="11.5703125" style="177"/>
  </cols>
  <sheetData>
    <row r="1" spans="1:25">
      <c r="A1" s="602" t="s">
        <v>459</v>
      </c>
      <c r="B1" s="602"/>
      <c r="C1" s="602"/>
      <c r="D1" s="602"/>
      <c r="E1" s="602"/>
      <c r="F1" s="602"/>
      <c r="G1" s="602"/>
      <c r="H1" s="602"/>
      <c r="I1" s="602"/>
      <c r="J1" s="602"/>
      <c r="K1" s="602"/>
      <c r="L1" s="602"/>
      <c r="M1" s="602"/>
      <c r="N1" s="602"/>
      <c r="O1" s="602"/>
      <c r="P1" s="602"/>
      <c r="Q1" s="602"/>
      <c r="R1" s="602"/>
      <c r="S1" s="602"/>
      <c r="T1" s="602"/>
      <c r="U1" s="602"/>
      <c r="V1" s="602"/>
      <c r="W1" s="602"/>
    </row>
    <row r="2" spans="1:25">
      <c r="A2" s="602" t="s">
        <v>1038</v>
      </c>
      <c r="B2" s="602"/>
      <c r="C2" s="602"/>
      <c r="D2" s="602"/>
      <c r="E2" s="602"/>
      <c r="F2" s="602"/>
      <c r="G2" s="602"/>
      <c r="H2" s="602"/>
      <c r="I2" s="602"/>
      <c r="J2" s="602"/>
      <c r="K2" s="602"/>
      <c r="L2" s="602"/>
      <c r="M2" s="602"/>
      <c r="N2" s="602"/>
      <c r="O2" s="602"/>
      <c r="P2" s="602"/>
      <c r="Q2" s="602"/>
      <c r="R2" s="602"/>
      <c r="S2" s="602"/>
      <c r="T2" s="602"/>
      <c r="U2" s="602"/>
      <c r="V2" s="602"/>
      <c r="W2" s="602"/>
    </row>
    <row r="3" spans="1:25">
      <c r="A3" s="602" t="str">
        <f>'Title Page'!A10</f>
        <v>FOR THE TWELVE MONTHS ENDED DECEMBER 31, 2023</v>
      </c>
      <c r="B3" s="602"/>
      <c r="C3" s="602"/>
      <c r="D3" s="602"/>
      <c r="E3" s="602"/>
      <c r="F3" s="602"/>
      <c r="G3" s="602"/>
      <c r="H3" s="602"/>
      <c r="I3" s="602"/>
      <c r="J3" s="602"/>
      <c r="K3" s="602"/>
      <c r="L3" s="602"/>
      <c r="M3" s="602"/>
      <c r="N3" s="602"/>
      <c r="O3" s="602"/>
      <c r="P3" s="602"/>
      <c r="Q3" s="602"/>
      <c r="R3" s="602"/>
      <c r="S3" s="602"/>
      <c r="T3" s="602"/>
      <c r="U3" s="602"/>
      <c r="V3" s="602"/>
      <c r="W3" s="602"/>
    </row>
    <row r="5" spans="1:25">
      <c r="A5" s="612" t="s">
        <v>3</v>
      </c>
      <c r="B5" s="612"/>
      <c r="C5" s="612"/>
      <c r="D5" s="612"/>
      <c r="E5" s="612"/>
      <c r="F5" s="612"/>
      <c r="G5" s="612"/>
      <c r="H5" s="612"/>
      <c r="I5" s="612"/>
      <c r="J5" s="612"/>
      <c r="K5" s="612"/>
      <c r="L5" s="612"/>
      <c r="M5" s="612"/>
      <c r="N5" s="612"/>
      <c r="O5" s="612"/>
      <c r="P5" s="612"/>
      <c r="Q5" s="612"/>
      <c r="R5" s="612"/>
      <c r="S5" s="612"/>
      <c r="T5" s="612"/>
      <c r="U5" s="612"/>
      <c r="V5" s="612"/>
      <c r="W5" s="612"/>
    </row>
    <row r="6" spans="1:25">
      <c r="A6" s="577" t="s">
        <v>503</v>
      </c>
      <c r="B6" s="577"/>
      <c r="C6" s="577"/>
      <c r="D6" s="577"/>
      <c r="E6" s="577"/>
      <c r="F6" s="577"/>
      <c r="G6" s="577"/>
      <c r="H6" s="577"/>
      <c r="I6" s="577"/>
      <c r="J6" s="577"/>
      <c r="K6" s="577"/>
      <c r="L6" s="577"/>
      <c r="M6" s="577"/>
      <c r="N6" s="577"/>
      <c r="O6" s="577"/>
      <c r="P6" s="577"/>
      <c r="Q6" s="577"/>
      <c r="R6" s="577"/>
      <c r="S6" s="577"/>
      <c r="T6" s="577"/>
      <c r="U6" s="577"/>
      <c r="V6" s="577"/>
      <c r="W6" s="577"/>
    </row>
    <row r="7" spans="1:25">
      <c r="A7" s="577" t="s">
        <v>504</v>
      </c>
      <c r="B7" s="577"/>
      <c r="C7" s="577"/>
      <c r="D7" s="577"/>
      <c r="E7" s="577"/>
      <c r="F7" s="577"/>
      <c r="G7" s="577"/>
      <c r="H7" s="577"/>
      <c r="I7" s="577"/>
      <c r="J7" s="577"/>
      <c r="K7" s="577"/>
      <c r="L7" s="577"/>
      <c r="M7" s="577"/>
      <c r="N7" s="577"/>
      <c r="O7" s="577"/>
      <c r="P7" s="577"/>
      <c r="Q7" s="577"/>
      <c r="R7" s="577"/>
      <c r="S7" s="577"/>
      <c r="T7" s="577"/>
      <c r="U7" s="577"/>
      <c r="V7" s="577"/>
      <c r="W7" s="577"/>
    </row>
    <row r="8" spans="1:25">
      <c r="A8" s="577" t="s">
        <v>170</v>
      </c>
      <c r="B8" s="577"/>
      <c r="C8" s="577"/>
      <c r="D8" s="577"/>
      <c r="E8" s="577"/>
      <c r="F8" s="577"/>
      <c r="G8" s="577"/>
      <c r="H8" s="577"/>
      <c r="I8" s="577"/>
      <c r="J8" s="577"/>
      <c r="K8" s="577"/>
      <c r="L8" s="577"/>
      <c r="M8" s="577"/>
      <c r="N8" s="577"/>
      <c r="O8" s="577"/>
      <c r="P8" s="577"/>
      <c r="Q8" s="577"/>
      <c r="R8" s="577"/>
      <c r="S8" s="577"/>
      <c r="T8" s="577"/>
      <c r="U8" s="577"/>
      <c r="V8" s="577"/>
      <c r="W8" s="577"/>
    </row>
    <row r="9" spans="1:25">
      <c r="A9" s="178"/>
      <c r="B9" s="556"/>
      <c r="C9" s="556"/>
      <c r="D9" s="556"/>
      <c r="E9" s="556"/>
      <c r="F9" s="556"/>
      <c r="G9" s="556"/>
      <c r="H9" s="556"/>
      <c r="I9" s="556"/>
      <c r="J9" s="556"/>
      <c r="K9" s="556"/>
      <c r="L9" s="556"/>
      <c r="M9" s="556"/>
      <c r="N9" s="556"/>
      <c r="O9" s="556"/>
      <c r="P9" s="556"/>
      <c r="Q9" s="556"/>
      <c r="R9" s="556"/>
      <c r="S9" s="556"/>
      <c r="T9" s="556"/>
      <c r="U9" s="556"/>
    </row>
    <row r="10" spans="1:25" ht="57" customHeight="1">
      <c r="E10" s="603" t="s">
        <v>841</v>
      </c>
      <c r="F10" s="604"/>
      <c r="G10" s="605"/>
      <c r="H10" s="603" t="s">
        <v>842</v>
      </c>
      <c r="I10" s="604"/>
      <c r="J10" s="605"/>
      <c r="K10" s="603" t="s">
        <v>928</v>
      </c>
      <c r="L10" s="604"/>
      <c r="M10" s="605"/>
      <c r="N10" s="603" t="s">
        <v>1176</v>
      </c>
      <c r="O10" s="604"/>
      <c r="P10" s="605"/>
      <c r="Q10" s="609" t="s">
        <v>1177</v>
      </c>
      <c r="R10" s="610"/>
      <c r="S10" s="611"/>
      <c r="T10" s="556"/>
    </row>
    <row r="11" spans="1:25" ht="39" thickBot="1">
      <c r="A11" s="179" t="s">
        <v>33</v>
      </c>
      <c r="B11" s="179" t="s">
        <v>34</v>
      </c>
      <c r="C11" s="179" t="s">
        <v>125</v>
      </c>
      <c r="D11" s="179" t="s">
        <v>4</v>
      </c>
      <c r="E11" s="179" t="s">
        <v>714</v>
      </c>
      <c r="F11" s="179" t="s">
        <v>126</v>
      </c>
      <c r="G11" s="25" t="s">
        <v>127</v>
      </c>
      <c r="H11" s="179" t="s">
        <v>714</v>
      </c>
      <c r="I11" s="180" t="s">
        <v>126</v>
      </c>
      <c r="J11" s="25" t="s">
        <v>127</v>
      </c>
      <c r="K11" s="179" t="s">
        <v>714</v>
      </c>
      <c r="L11" s="180" t="s">
        <v>126</v>
      </c>
      <c r="M11" s="25" t="s">
        <v>127</v>
      </c>
      <c r="N11" s="179" t="s">
        <v>714</v>
      </c>
      <c r="O11" s="180" t="s">
        <v>126</v>
      </c>
      <c r="P11" s="25" t="s">
        <v>127</v>
      </c>
      <c r="Q11" s="179" t="s">
        <v>714</v>
      </c>
      <c r="R11" s="180" t="s">
        <v>126</v>
      </c>
      <c r="S11" s="180" t="s">
        <v>127</v>
      </c>
      <c r="T11" s="180" t="s">
        <v>715</v>
      </c>
      <c r="U11" s="25" t="s">
        <v>716</v>
      </c>
      <c r="V11" s="25" t="s">
        <v>717</v>
      </c>
    </row>
    <row r="12" spans="1:25">
      <c r="A12" s="4" t="s">
        <v>505</v>
      </c>
      <c r="B12" s="5">
        <v>352</v>
      </c>
      <c r="C12" s="6">
        <v>2005</v>
      </c>
      <c r="D12" s="3">
        <v>59325</v>
      </c>
      <c r="E12" s="21">
        <v>1.29E-2</v>
      </c>
      <c r="F12" s="26">
        <f t="shared" ref="F12:F17" si="0">(2008-C12)+0.58</f>
        <v>3.58</v>
      </c>
      <c r="G12" s="3">
        <f t="shared" ref="G12:G17" si="1">ROUND(D12*F12*E12,2)</f>
        <v>2739.75</v>
      </c>
      <c r="H12" s="21">
        <v>1.6799999999999999E-2</v>
      </c>
      <c r="I12" s="28">
        <f t="shared" ref="I12:I17" si="2">IF(C12&gt;2008.9, 0.42, 1.42)+2+0.42</f>
        <v>3.84</v>
      </c>
      <c r="J12" s="3">
        <f t="shared" ref="J12:J17" si="3">ROUND(D12*I12*H12,2)</f>
        <v>3827.17</v>
      </c>
      <c r="K12" s="66">
        <v>1.84E-2</v>
      </c>
      <c r="L12" s="122">
        <v>5</v>
      </c>
      <c r="M12" s="3">
        <f>ROUND(D12*L12*K12,2)</f>
        <v>5457.9</v>
      </c>
      <c r="N12" s="66">
        <v>1.8800000000000001E-2</v>
      </c>
      <c r="O12" s="122">
        <f t="shared" ref="O12:O17" si="4">(2021+1-C12)-L12-I12-F12</f>
        <v>4.58</v>
      </c>
      <c r="P12" s="121">
        <f>ROUND(D12*O12*N12,2)</f>
        <v>5108.12</v>
      </c>
      <c r="Q12" s="66">
        <v>1.9E-2</v>
      </c>
      <c r="R12" s="122">
        <v>2</v>
      </c>
      <c r="S12" s="2">
        <f>ROUND(D12*R12*Q12,2)</f>
        <v>2254.35</v>
      </c>
      <c r="T12" s="2">
        <f>SUM(G12,J12,M12,P12, S12)</f>
        <v>19387.289999999997</v>
      </c>
      <c r="U12" s="3">
        <f t="shared" ref="U12:U17" si="5">D12-T12</f>
        <v>39937.710000000006</v>
      </c>
      <c r="V12" s="2">
        <f>ROUND((D12 * Q12),2)</f>
        <v>1127.18</v>
      </c>
      <c r="X12" s="181">
        <f>2015+1-C12</f>
        <v>11</v>
      </c>
      <c r="Y12" s="182">
        <f>F12+I12+L12</f>
        <v>12.42</v>
      </c>
    </row>
    <row r="13" spans="1:25">
      <c r="A13" s="4" t="s">
        <v>505</v>
      </c>
      <c r="B13" s="5">
        <v>353</v>
      </c>
      <c r="C13" s="6">
        <v>2005</v>
      </c>
      <c r="D13" s="3">
        <v>49372</v>
      </c>
      <c r="E13" s="21">
        <v>2.12E-2</v>
      </c>
      <c r="F13" s="26">
        <f t="shared" si="0"/>
        <v>3.58</v>
      </c>
      <c r="G13" s="3">
        <f t="shared" si="1"/>
        <v>3747.14</v>
      </c>
      <c r="H13" s="21">
        <v>2.06E-2</v>
      </c>
      <c r="I13" s="28">
        <f t="shared" si="2"/>
        <v>3.84</v>
      </c>
      <c r="J13" s="3">
        <f t="shared" si="3"/>
        <v>3905.52</v>
      </c>
      <c r="K13" s="66">
        <v>1.9E-2</v>
      </c>
      <c r="L13" s="122">
        <v>5</v>
      </c>
      <c r="M13" s="3">
        <f>ROUND(D13*L13*K13,2)</f>
        <v>4690.34</v>
      </c>
      <c r="N13" s="66">
        <v>1.9699999999999999E-2</v>
      </c>
      <c r="O13" s="122">
        <f t="shared" si="4"/>
        <v>4.58</v>
      </c>
      <c r="P13" s="2">
        <f t="shared" ref="P13:P17" si="6">ROUND(D13*O13*N13,2)</f>
        <v>4454.6400000000003</v>
      </c>
      <c r="Q13" s="66">
        <v>2.18E-2</v>
      </c>
      <c r="R13" s="122">
        <v>2</v>
      </c>
      <c r="S13" s="2">
        <f t="shared" ref="S13:S21" si="7">ROUND(D13*R13*Q13,2)</f>
        <v>2152.62</v>
      </c>
      <c r="T13" s="2">
        <f t="shared" ref="T13:T21" si="8">SUM(G13,J13,M13,P13, S13)</f>
        <v>18950.259999999998</v>
      </c>
      <c r="U13" s="3">
        <f t="shared" si="5"/>
        <v>30421.74</v>
      </c>
      <c r="V13" s="2">
        <f t="shared" ref="V13:V21" si="9">ROUND((D13 * Q13),2)</f>
        <v>1076.31</v>
      </c>
      <c r="X13" s="181">
        <f t="shared" ref="X13:X21" si="10">2015+1-C13</f>
        <v>11</v>
      </c>
      <c r="Y13" s="182">
        <f t="shared" ref="Y13:Y21" si="11">F13+I13+L13</f>
        <v>12.42</v>
      </c>
    </row>
    <row r="14" spans="1:25">
      <c r="A14" s="4" t="s">
        <v>132</v>
      </c>
      <c r="B14" s="5">
        <v>352</v>
      </c>
      <c r="C14" s="6">
        <v>2001</v>
      </c>
      <c r="D14" s="3">
        <v>89955.44</v>
      </c>
      <c r="E14" s="21">
        <v>1.29E-2</v>
      </c>
      <c r="F14" s="26">
        <f t="shared" si="0"/>
        <v>7.58</v>
      </c>
      <c r="G14" s="3">
        <f t="shared" si="1"/>
        <v>8796.02</v>
      </c>
      <c r="H14" s="21">
        <v>1.6799999999999999E-2</v>
      </c>
      <c r="I14" s="28">
        <f t="shared" si="2"/>
        <v>3.84</v>
      </c>
      <c r="J14" s="3">
        <f t="shared" si="3"/>
        <v>5803.21</v>
      </c>
      <c r="K14" s="66">
        <v>1.84E-2</v>
      </c>
      <c r="L14" s="122">
        <v>5</v>
      </c>
      <c r="M14" s="3">
        <f t="shared" ref="M14:M17" si="12">ROUND(D14*L14*K14,2)</f>
        <v>8275.9</v>
      </c>
      <c r="N14" s="66">
        <f t="shared" ref="N14:N17" si="13">N12</f>
        <v>1.8800000000000001E-2</v>
      </c>
      <c r="O14" s="122">
        <f t="shared" si="4"/>
        <v>4.58</v>
      </c>
      <c r="P14" s="2">
        <f t="shared" si="6"/>
        <v>7745.52</v>
      </c>
      <c r="Q14" s="66">
        <f t="shared" ref="Q14:Q17" si="14">Q12</f>
        <v>1.9E-2</v>
      </c>
      <c r="R14" s="122">
        <v>2</v>
      </c>
      <c r="S14" s="2">
        <f t="shared" si="7"/>
        <v>3418.31</v>
      </c>
      <c r="T14" s="2">
        <f t="shared" si="8"/>
        <v>34038.959999999999</v>
      </c>
      <c r="U14" s="3">
        <f t="shared" si="5"/>
        <v>55916.480000000003</v>
      </c>
      <c r="V14" s="2">
        <f t="shared" si="9"/>
        <v>1709.15</v>
      </c>
      <c r="X14" s="181">
        <f t="shared" si="10"/>
        <v>15</v>
      </c>
      <c r="Y14" s="182">
        <f t="shared" si="11"/>
        <v>16.420000000000002</v>
      </c>
    </row>
    <row r="15" spans="1:25">
      <c r="A15" s="4" t="s">
        <v>132</v>
      </c>
      <c r="B15" s="5">
        <v>353</v>
      </c>
      <c r="C15" s="6">
        <v>2001</v>
      </c>
      <c r="D15" s="3">
        <v>433103.7</v>
      </c>
      <c r="E15" s="21">
        <v>2.12E-2</v>
      </c>
      <c r="F15" s="26">
        <f t="shared" si="0"/>
        <v>7.58</v>
      </c>
      <c r="G15" s="3">
        <f t="shared" si="1"/>
        <v>69598.03</v>
      </c>
      <c r="H15" s="21">
        <v>2.06E-2</v>
      </c>
      <c r="I15" s="28">
        <f t="shared" si="2"/>
        <v>3.84</v>
      </c>
      <c r="J15" s="3">
        <f t="shared" si="3"/>
        <v>34260.239999999998</v>
      </c>
      <c r="K15" s="21">
        <v>1.9E-2</v>
      </c>
      <c r="L15" s="122">
        <v>5</v>
      </c>
      <c r="M15" s="3">
        <f t="shared" si="12"/>
        <v>41144.85</v>
      </c>
      <c r="N15" s="21">
        <f t="shared" si="13"/>
        <v>1.9699999999999999E-2</v>
      </c>
      <c r="O15" s="122">
        <f t="shared" si="4"/>
        <v>4.58</v>
      </c>
      <c r="P15" s="2">
        <f t="shared" si="6"/>
        <v>39077.21</v>
      </c>
      <c r="Q15" s="21">
        <f t="shared" si="14"/>
        <v>2.18E-2</v>
      </c>
      <c r="R15" s="122">
        <v>2</v>
      </c>
      <c r="S15" s="2">
        <f t="shared" si="7"/>
        <v>18883.32</v>
      </c>
      <c r="T15" s="2">
        <f t="shared" si="8"/>
        <v>202963.65</v>
      </c>
      <c r="U15" s="3">
        <f t="shared" si="5"/>
        <v>230140.05000000002</v>
      </c>
      <c r="V15" s="2">
        <f t="shared" si="9"/>
        <v>9441.66</v>
      </c>
      <c r="X15" s="181">
        <f t="shared" si="10"/>
        <v>15</v>
      </c>
      <c r="Y15" s="182">
        <f t="shared" si="11"/>
        <v>16.420000000000002</v>
      </c>
    </row>
    <row r="16" spans="1:25">
      <c r="A16" s="4" t="s">
        <v>132</v>
      </c>
      <c r="B16" s="5">
        <v>352</v>
      </c>
      <c r="C16" s="540">
        <v>2008</v>
      </c>
      <c r="D16" s="3">
        <v>63308</v>
      </c>
      <c r="E16" s="21">
        <v>1.29E-2</v>
      </c>
      <c r="F16" s="26">
        <f t="shared" si="0"/>
        <v>0.57999999999999996</v>
      </c>
      <c r="G16" s="3">
        <f t="shared" si="1"/>
        <v>473.67</v>
      </c>
      <c r="H16" s="21">
        <v>1.6799999999999999E-2</v>
      </c>
      <c r="I16" s="28">
        <f t="shared" si="2"/>
        <v>3.84</v>
      </c>
      <c r="J16" s="3">
        <f t="shared" si="3"/>
        <v>4084.13</v>
      </c>
      <c r="K16" s="66">
        <v>1.84E-2</v>
      </c>
      <c r="L16" s="122">
        <v>5</v>
      </c>
      <c r="M16" s="3">
        <f t="shared" si="12"/>
        <v>5824.34</v>
      </c>
      <c r="N16" s="66">
        <f t="shared" si="13"/>
        <v>1.8800000000000001E-2</v>
      </c>
      <c r="O16" s="122">
        <f t="shared" si="4"/>
        <v>4.58</v>
      </c>
      <c r="P16" s="2">
        <f t="shared" si="6"/>
        <v>5451.07</v>
      </c>
      <c r="Q16" s="66">
        <f t="shared" si="14"/>
        <v>1.9E-2</v>
      </c>
      <c r="R16" s="122">
        <v>2</v>
      </c>
      <c r="S16" s="2">
        <f t="shared" si="7"/>
        <v>2405.6999999999998</v>
      </c>
      <c r="T16" s="2">
        <f t="shared" si="8"/>
        <v>18238.91</v>
      </c>
      <c r="U16" s="3">
        <f t="shared" si="5"/>
        <v>45069.09</v>
      </c>
      <c r="V16" s="2">
        <f t="shared" si="9"/>
        <v>1202.8499999999999</v>
      </c>
      <c r="X16" s="181">
        <f t="shared" si="10"/>
        <v>8</v>
      </c>
      <c r="Y16" s="182">
        <f t="shared" si="11"/>
        <v>9.42</v>
      </c>
    </row>
    <row r="17" spans="1:25">
      <c r="A17" s="4" t="s">
        <v>132</v>
      </c>
      <c r="B17" s="5">
        <v>353</v>
      </c>
      <c r="C17" s="540">
        <v>2008</v>
      </c>
      <c r="D17" s="2">
        <v>126618</v>
      </c>
      <c r="E17" s="21">
        <v>2.12E-2</v>
      </c>
      <c r="F17" s="26">
        <f t="shared" si="0"/>
        <v>0.57999999999999996</v>
      </c>
      <c r="G17" s="3">
        <f t="shared" si="1"/>
        <v>1556.89</v>
      </c>
      <c r="H17" s="21">
        <v>2.06E-2</v>
      </c>
      <c r="I17" s="28">
        <f t="shared" si="2"/>
        <v>3.84</v>
      </c>
      <c r="J17" s="3">
        <f t="shared" si="3"/>
        <v>10015.99</v>
      </c>
      <c r="K17" s="66">
        <v>1.9E-2</v>
      </c>
      <c r="L17" s="122">
        <v>5</v>
      </c>
      <c r="M17" s="3">
        <f t="shared" si="12"/>
        <v>12028.71</v>
      </c>
      <c r="N17" s="21">
        <f t="shared" si="13"/>
        <v>1.9699999999999999E-2</v>
      </c>
      <c r="O17" s="122">
        <f t="shared" si="4"/>
        <v>4.58</v>
      </c>
      <c r="P17" s="2">
        <f t="shared" si="6"/>
        <v>11424.24</v>
      </c>
      <c r="Q17" s="21">
        <f t="shared" si="14"/>
        <v>2.18E-2</v>
      </c>
      <c r="R17" s="122">
        <v>2</v>
      </c>
      <c r="S17" s="2">
        <f t="shared" si="7"/>
        <v>5520.54</v>
      </c>
      <c r="T17" s="2">
        <f t="shared" si="8"/>
        <v>40546.369999999995</v>
      </c>
      <c r="U17" s="3">
        <f t="shared" si="5"/>
        <v>86071.63</v>
      </c>
      <c r="V17" s="2">
        <f t="shared" si="9"/>
        <v>2760.27</v>
      </c>
      <c r="X17" s="181">
        <f t="shared" si="10"/>
        <v>8</v>
      </c>
      <c r="Y17" s="182">
        <f t="shared" si="11"/>
        <v>9.42</v>
      </c>
    </row>
    <row r="18" spans="1:25">
      <c r="A18" s="4" t="s">
        <v>844</v>
      </c>
      <c r="B18" s="5">
        <v>352</v>
      </c>
      <c r="C18" s="540">
        <v>2012</v>
      </c>
      <c r="D18" s="2">
        <v>150491.68</v>
      </c>
      <c r="E18" s="21"/>
      <c r="F18" s="26">
        <v>0</v>
      </c>
      <c r="G18" s="2">
        <v>0</v>
      </c>
      <c r="H18" s="2">
        <v>0</v>
      </c>
      <c r="I18" s="2">
        <v>0</v>
      </c>
      <c r="J18" s="2">
        <v>0</v>
      </c>
      <c r="K18" s="2">
        <v>0</v>
      </c>
      <c r="L18" s="2">
        <v>0</v>
      </c>
      <c r="M18" s="2">
        <v>0</v>
      </c>
      <c r="N18" s="2">
        <v>0</v>
      </c>
      <c r="O18" s="2">
        <v>0</v>
      </c>
      <c r="P18" s="2">
        <v>0</v>
      </c>
      <c r="Q18" s="66">
        <f>Q14</f>
        <v>1.9E-2</v>
      </c>
      <c r="R18" s="122">
        <v>2</v>
      </c>
      <c r="S18" s="2">
        <f t="shared" ref="S18:S19" si="15">ROUND(D18*R18*Q18,2)</f>
        <v>5718.68</v>
      </c>
      <c r="T18" s="2">
        <f t="shared" ref="T18:T19" si="16">SUM(G18,J18,M18,P18, S18)</f>
        <v>5718.68</v>
      </c>
      <c r="U18" s="3">
        <f>D18-T18</f>
        <v>144773</v>
      </c>
      <c r="V18" s="2">
        <f t="shared" ref="V18:V19" si="17">ROUND((D18 * Q18),2)</f>
        <v>2859.34</v>
      </c>
      <c r="X18" s="181">
        <f t="shared" ref="X18:X19" si="18">2015+1-C18</f>
        <v>4</v>
      </c>
      <c r="Y18" s="182">
        <f t="shared" ref="Y18:Y19" si="19">F18+I18+L18</f>
        <v>0</v>
      </c>
    </row>
    <row r="19" spans="1:25" ht="15" customHeight="1">
      <c r="A19" s="4" t="s">
        <v>844</v>
      </c>
      <c r="B19" s="5">
        <v>353</v>
      </c>
      <c r="C19" s="540">
        <v>2012</v>
      </c>
      <c r="D19" s="2">
        <v>68973.52</v>
      </c>
      <c r="E19" s="166"/>
      <c r="F19" s="167">
        <v>0</v>
      </c>
      <c r="G19" s="2">
        <v>0</v>
      </c>
      <c r="H19" s="2">
        <v>0</v>
      </c>
      <c r="I19" s="2">
        <v>0</v>
      </c>
      <c r="J19" s="2">
        <v>0</v>
      </c>
      <c r="K19" s="2">
        <v>0</v>
      </c>
      <c r="L19" s="2">
        <v>0</v>
      </c>
      <c r="M19" s="2">
        <v>0</v>
      </c>
      <c r="N19" s="2">
        <v>0</v>
      </c>
      <c r="O19" s="2">
        <v>0</v>
      </c>
      <c r="P19" s="2">
        <v>0</v>
      </c>
      <c r="Q19" s="166">
        <f>Q15</f>
        <v>2.18E-2</v>
      </c>
      <c r="R19" s="183">
        <v>2</v>
      </c>
      <c r="S19" s="2">
        <f t="shared" si="15"/>
        <v>3007.25</v>
      </c>
      <c r="T19" s="2">
        <f t="shared" si="16"/>
        <v>3007.25</v>
      </c>
      <c r="U19" s="2">
        <f>D19-T19</f>
        <v>65966.27</v>
      </c>
      <c r="V19" s="2">
        <f t="shared" si="17"/>
        <v>1503.62</v>
      </c>
      <c r="X19" s="181">
        <f t="shared" si="18"/>
        <v>4</v>
      </c>
      <c r="Y19" s="182">
        <f t="shared" si="19"/>
        <v>0</v>
      </c>
    </row>
    <row r="20" spans="1:25">
      <c r="A20" s="4" t="s">
        <v>1376</v>
      </c>
      <c r="B20" s="5">
        <v>352</v>
      </c>
      <c r="C20" s="540">
        <v>2023</v>
      </c>
      <c r="D20" s="2">
        <v>886455.85</v>
      </c>
      <c r="E20" s="21"/>
      <c r="F20" s="26">
        <v>0</v>
      </c>
      <c r="G20" s="2">
        <v>0</v>
      </c>
      <c r="H20" s="2">
        <v>0</v>
      </c>
      <c r="I20" s="2">
        <v>0</v>
      </c>
      <c r="J20" s="2">
        <v>0</v>
      </c>
      <c r="K20" s="2">
        <v>0</v>
      </c>
      <c r="L20" s="2">
        <v>0</v>
      </c>
      <c r="M20" s="2">
        <v>0</v>
      </c>
      <c r="N20" s="2">
        <v>0</v>
      </c>
      <c r="O20" s="2">
        <v>0</v>
      </c>
      <c r="P20" s="2">
        <v>0</v>
      </c>
      <c r="Q20" s="66">
        <f>Q16</f>
        <v>1.9E-2</v>
      </c>
      <c r="R20" s="122">
        <v>1</v>
      </c>
      <c r="S20" s="2">
        <f t="shared" si="7"/>
        <v>16842.66</v>
      </c>
      <c r="T20" s="2">
        <f t="shared" si="8"/>
        <v>16842.66</v>
      </c>
      <c r="U20" s="3">
        <f>D20-T20</f>
        <v>869613.19</v>
      </c>
      <c r="V20" s="2">
        <f t="shared" si="9"/>
        <v>16842.66</v>
      </c>
      <c r="X20" s="181">
        <f t="shared" si="10"/>
        <v>-7</v>
      </c>
      <c r="Y20" s="182">
        <f t="shared" si="11"/>
        <v>0</v>
      </c>
    </row>
    <row r="21" spans="1:25">
      <c r="A21" s="4" t="s">
        <v>1376</v>
      </c>
      <c r="B21" s="5">
        <v>353</v>
      </c>
      <c r="C21" s="540">
        <v>2023</v>
      </c>
      <c r="D21" s="184">
        <v>1883753.93</v>
      </c>
      <c r="E21" s="21"/>
      <c r="F21" s="26">
        <v>0</v>
      </c>
      <c r="G21" s="184">
        <v>0</v>
      </c>
      <c r="H21" s="184">
        <v>0</v>
      </c>
      <c r="I21" s="184">
        <v>0</v>
      </c>
      <c r="J21" s="184">
        <v>0</v>
      </c>
      <c r="K21" s="184">
        <v>0</v>
      </c>
      <c r="L21" s="184">
        <v>0</v>
      </c>
      <c r="M21" s="184">
        <v>0</v>
      </c>
      <c r="N21" s="184">
        <v>0</v>
      </c>
      <c r="O21" s="184">
        <v>0</v>
      </c>
      <c r="P21" s="184">
        <v>0</v>
      </c>
      <c r="Q21" s="21">
        <f>Q17</f>
        <v>2.18E-2</v>
      </c>
      <c r="R21" s="122">
        <v>1</v>
      </c>
      <c r="S21" s="184">
        <f t="shared" si="7"/>
        <v>41065.839999999997</v>
      </c>
      <c r="T21" s="184">
        <f t="shared" si="8"/>
        <v>41065.839999999997</v>
      </c>
      <c r="U21" s="184">
        <f>D21-T21</f>
        <v>1842688.0899999999</v>
      </c>
      <c r="V21" s="184">
        <f t="shared" si="9"/>
        <v>41065.839999999997</v>
      </c>
      <c r="X21" s="181">
        <f t="shared" si="10"/>
        <v>-7</v>
      </c>
      <c r="Y21" s="182">
        <f t="shared" si="11"/>
        <v>0</v>
      </c>
    </row>
    <row r="22" spans="1:25">
      <c r="D22" s="3"/>
      <c r="E22" s="21"/>
      <c r="F22" s="23"/>
      <c r="G22" s="3"/>
      <c r="H22" s="21"/>
      <c r="I22" s="22"/>
      <c r="J22" s="3"/>
      <c r="K22" s="3"/>
      <c r="L22" s="3"/>
      <c r="M22" s="3"/>
      <c r="N22" s="3"/>
      <c r="O22" s="3"/>
      <c r="P22" s="3"/>
      <c r="Q22" s="3"/>
      <c r="R22" s="3"/>
      <c r="S22" s="3"/>
      <c r="T22" s="3"/>
      <c r="U22" s="3"/>
      <c r="V22" s="3"/>
    </row>
    <row r="23" spans="1:25">
      <c r="A23" s="177" t="s">
        <v>469</v>
      </c>
      <c r="D23" s="139">
        <f>SUM(D12:D22)</f>
        <v>3811357.12</v>
      </c>
      <c r="E23" s="139"/>
      <c r="F23" s="139"/>
      <c r="G23" s="139">
        <f>SUM(G12:G22)</f>
        <v>86911.5</v>
      </c>
      <c r="H23" s="139"/>
      <c r="I23" s="139"/>
      <c r="J23" s="139">
        <f>SUM(J12:J22)</f>
        <v>61896.259999999995</v>
      </c>
      <c r="K23" s="139"/>
      <c r="L23" s="139"/>
      <c r="M23" s="139">
        <f>SUM(M12:M22)</f>
        <v>77422.040000000008</v>
      </c>
      <c r="N23" s="139"/>
      <c r="O23" s="139"/>
      <c r="P23" s="139">
        <f>SUM(P12:P22)</f>
        <v>73260.800000000003</v>
      </c>
      <c r="Q23" s="139"/>
      <c r="R23" s="139"/>
      <c r="S23" s="139">
        <f>SUM(S12:S22)</f>
        <v>101269.26999999999</v>
      </c>
      <c r="T23" s="139">
        <f>SUM(T12:T22)</f>
        <v>400759.86999999988</v>
      </c>
      <c r="U23" s="139">
        <f>SUM(U12:U22)</f>
        <v>3410597.25</v>
      </c>
      <c r="V23" s="139">
        <f>SUM(V12:V22)</f>
        <v>79588.87999999999</v>
      </c>
    </row>
  </sheetData>
  <mergeCells count="12">
    <mergeCell ref="A1:W1"/>
    <mergeCell ref="A2:W2"/>
    <mergeCell ref="A3:W3"/>
    <mergeCell ref="A5:W5"/>
    <mergeCell ref="A6:W6"/>
    <mergeCell ref="E10:G10"/>
    <mergeCell ref="H10:J10"/>
    <mergeCell ref="K10:M10"/>
    <mergeCell ref="N10:P10"/>
    <mergeCell ref="A7:W7"/>
    <mergeCell ref="A8:W8"/>
    <mergeCell ref="Q10:S10"/>
  </mergeCells>
  <phoneticPr fontId="0" type="noConversion"/>
  <printOptions horizontalCentered="1"/>
  <pageMargins left="0.75" right="0.75" top="1" bottom="1" header="0.5" footer="0.5"/>
  <pageSetup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41</vt:i4>
      </vt:variant>
      <vt:variant>
        <vt:lpstr>Named Ranges</vt:lpstr>
      </vt:variant>
      <vt:variant>
        <vt:i4>43</vt:i4>
      </vt:variant>
    </vt:vector>
  </HeadingPairs>
  <TitlesOfParts>
    <vt:vector size="84" baseType="lpstr">
      <vt:lpstr>Title Page</vt:lpstr>
      <vt:lpstr>List of Worksheets</vt:lpstr>
      <vt:lpstr>Schedule 7, 8 and 9 Rates</vt:lpstr>
      <vt:lpstr>Calc of PTP</vt:lpstr>
      <vt:lpstr>Calc of NT Rev Req</vt:lpstr>
      <vt:lpstr>Revenue Credits</vt:lpstr>
      <vt:lpstr>Rate Calculation</vt:lpstr>
      <vt:lpstr>Schedule 1</vt:lpstr>
      <vt:lpstr>Schedule 2</vt:lpstr>
      <vt:lpstr>Schedule 3</vt:lpstr>
      <vt:lpstr>Schedule 4</vt:lpstr>
      <vt:lpstr>Schedule 5</vt:lpstr>
      <vt:lpstr>Schedule 6</vt:lpstr>
      <vt:lpstr>Schedule 7</vt:lpstr>
      <vt:lpstr>Schedule 8</vt:lpstr>
      <vt:lpstr>Schedule 9</vt:lpstr>
      <vt:lpstr>Schedule 10</vt:lpstr>
      <vt:lpstr>Schedule 11</vt:lpstr>
      <vt:lpstr>Schedule 12</vt:lpstr>
      <vt:lpstr>Schedule 13</vt:lpstr>
      <vt:lpstr>Workpapers Title Page</vt:lpstr>
      <vt:lpstr>Schedule 1 Workpaper page 1</vt:lpstr>
      <vt:lpstr>Schedule 1 Workpaper page 2</vt:lpstr>
      <vt:lpstr>Schedule 1 Workpaper page 3</vt:lpstr>
      <vt:lpstr>Schedule 2 Workpaper page 1</vt:lpstr>
      <vt:lpstr>Schedule 2 Workpaper page 2</vt:lpstr>
      <vt:lpstr>Schedule 2 Workpaper page 3</vt:lpstr>
      <vt:lpstr>Schedule 2 Workpaper page 4</vt:lpstr>
      <vt:lpstr>Schedule 4 Workpaper page 1</vt:lpstr>
      <vt:lpstr>Schedule 4 Workpaper page 2</vt:lpstr>
      <vt:lpstr>Schedule 4 Workpaper page 3</vt:lpstr>
      <vt:lpstr>Schedule 4 Workpaper page 4</vt:lpstr>
      <vt:lpstr>Schedule 4 Workpaper page 5</vt:lpstr>
      <vt:lpstr>Schedule 4 Workpaper page 6</vt:lpstr>
      <vt:lpstr>Schedule 4 Workpaper page 7</vt:lpstr>
      <vt:lpstr>Schedule 5 Workpaper </vt:lpstr>
      <vt:lpstr>Schedule 6 Workpaper page 1</vt:lpstr>
      <vt:lpstr>Schedule 6 Workpaper page 2</vt:lpstr>
      <vt:lpstr>Schedule 6 Workpaper page 3</vt:lpstr>
      <vt:lpstr>Schedule 7 Workpaper</vt:lpstr>
      <vt:lpstr>Schedule 8 Workpaper</vt:lpstr>
      <vt:lpstr>'Calc of NT Rev Req'!Print_Area</vt:lpstr>
      <vt:lpstr>'Calc of PTP'!Print_Area</vt:lpstr>
      <vt:lpstr>'List of Worksheets'!Print_Area</vt:lpstr>
      <vt:lpstr>'Rate Calculation'!Print_Area</vt:lpstr>
      <vt:lpstr>'Revenue Credits'!Print_Area</vt:lpstr>
      <vt:lpstr>'Schedule 1'!Print_Area</vt:lpstr>
      <vt:lpstr>'Schedule 1 Workpaper page 1'!Print_Area</vt:lpstr>
      <vt:lpstr>'Schedule 1 Workpaper page 2'!Print_Area</vt:lpstr>
      <vt:lpstr>'Schedule 1 Workpaper page 3'!Print_Area</vt:lpstr>
      <vt:lpstr>'Schedule 10'!Print_Area</vt:lpstr>
      <vt:lpstr>'Schedule 11'!Print_Area</vt:lpstr>
      <vt:lpstr>'Schedule 12'!Print_Area</vt:lpstr>
      <vt:lpstr>'Schedule 13'!Print_Area</vt:lpstr>
      <vt:lpstr>'Schedule 2'!Print_Area</vt:lpstr>
      <vt:lpstr>'Schedule 2 Workpaper page 1'!Print_Area</vt:lpstr>
      <vt:lpstr>'Schedule 2 Workpaper page 2'!Print_Area</vt:lpstr>
      <vt:lpstr>'Schedule 2 Workpaper page 3'!Print_Area</vt:lpstr>
      <vt:lpstr>'Schedule 2 Workpaper page 4'!Print_Area</vt:lpstr>
      <vt:lpstr>'Schedule 3'!Print_Area</vt:lpstr>
      <vt:lpstr>'Schedule 4'!Print_Area</vt:lpstr>
      <vt:lpstr>'Schedule 4 Workpaper page 1'!Print_Area</vt:lpstr>
      <vt:lpstr>'Schedule 4 Workpaper page 2'!Print_Area</vt:lpstr>
      <vt:lpstr>'Schedule 4 Workpaper page 3'!Print_Area</vt:lpstr>
      <vt:lpstr>'Schedule 4 Workpaper page 4'!Print_Area</vt:lpstr>
      <vt:lpstr>'Schedule 4 Workpaper page 5'!Print_Area</vt:lpstr>
      <vt:lpstr>'Schedule 4 Workpaper page 6'!Print_Area</vt:lpstr>
      <vt:lpstr>'Schedule 4 Workpaper page 7'!Print_Area</vt:lpstr>
      <vt:lpstr>'Schedule 5'!Print_Area</vt:lpstr>
      <vt:lpstr>'Schedule 5 Workpaper '!Print_Area</vt:lpstr>
      <vt:lpstr>'Schedule 6'!Print_Area</vt:lpstr>
      <vt:lpstr>'Schedule 6 Workpaper page 1'!Print_Area</vt:lpstr>
      <vt:lpstr>'Schedule 6 Workpaper page 2'!Print_Area</vt:lpstr>
      <vt:lpstr>'Schedule 6 Workpaper page 3'!Print_Area</vt:lpstr>
      <vt:lpstr>'Schedule 7'!Print_Area</vt:lpstr>
      <vt:lpstr>'Schedule 7 Workpaper'!Print_Area</vt:lpstr>
      <vt:lpstr>'Schedule 7, 8 and 9 Rates'!Print_Area</vt:lpstr>
      <vt:lpstr>'Schedule 8'!Print_Area</vt:lpstr>
      <vt:lpstr>'Schedule 8 Workpaper'!Print_Area</vt:lpstr>
      <vt:lpstr>'Schedule 9'!Print_Area</vt:lpstr>
      <vt:lpstr>'Title Page'!Print_Area</vt:lpstr>
      <vt:lpstr>'Schedule 4 Workpaper page 2'!Print_Titles</vt:lpstr>
      <vt:lpstr>'Schedule 7'!Print_Titles</vt:lpstr>
      <vt:lpstr>'Schedule 7 Workpaper'!Print_Titles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2008-08-26T14:24:20Z</cp:lastPrinted>
  <dcterms:created xsi:type="dcterms:W3CDTF">1970-01-01T05:00:00Z</dcterms:created>
  <dcterms:modified xsi:type="dcterms:W3CDTF">2024-12-30T16:23:21Z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{18BB0A78-5CF0-4B97-B7CF-8A74E977157C}</vt:lpwstr>
  </property>
</Properties>
</file>